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pivotCache/pivotCacheDefinition10.xml" ContentType="application/vnd.openxmlformats-officedocument.spreadsheetml.pivotCacheDefinition+xml"/>
  <Override PartName="/xl/pivotCache/pivotCacheRecords10.xml" ContentType="application/vnd.openxmlformats-officedocument.spreadsheetml.pivotCacheRecords+xml"/>
  <Override PartName="/xl/pivotCache/pivotCacheDefinition11.xml" ContentType="application/vnd.openxmlformats-officedocument.spreadsheetml.pivotCacheDefinition+xml"/>
  <Override PartName="/xl/pivotCache/pivotCacheRecords1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D:\VNG\2024 FINANCIAL REPORTS\FINANCIAL STATEMENTS 2024\3 MARCH 2024 FS\"/>
    </mc:Choice>
  </mc:AlternateContent>
  <bookViews>
    <workbookView xWindow="0" yWindow="0" windowWidth="28800" windowHeight="12435" firstSheet="2" activeTab="2"/>
  </bookViews>
  <sheets>
    <sheet name="summary" sheetId="2" state="hidden" r:id="rId1"/>
    <sheet name="CONSO BOAS 2023 (FC1,2,3,4,7)" sheetId="17" state="hidden" r:id="rId2"/>
    <sheet name="FC1 2024" sheetId="7" r:id="rId3"/>
    <sheet name="Sheet1" sheetId="12" state="hidden" r:id="rId4"/>
    <sheet name="Sheet5" sheetId="16" state="hidden" r:id="rId5"/>
    <sheet name="WORKING PAPER FC1" sheetId="11" state="hidden" r:id="rId6"/>
    <sheet name="FC2" sheetId="3" state="hidden" r:id="rId7"/>
    <sheet name="FC 3 2024" sheetId="10" r:id="rId8"/>
    <sheet name="FC 4 DECEMBER" sheetId="4" state="hidden" r:id="rId9"/>
    <sheet name="FC 6 DECEMBER" sheetId="5" state="hidden" r:id="rId10"/>
    <sheet name=" FC 7 2024" sheetId="9" r:id="rId11"/>
    <sheet name=" FC 7 " sheetId="6" state="hidden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</externalReferences>
  <definedNames>
    <definedName name="_xlnm._FilterDatabase" localSheetId="10" hidden="1">' FC 7 2024'!$A$22:$T$22</definedName>
    <definedName name="_xlnm._FilterDatabase" localSheetId="1" hidden="1">'CONSO BOAS 2023 (FC1,2,3,4,7)'!$A$17:$X$175</definedName>
    <definedName name="_xlnm._FilterDatabase" localSheetId="2" hidden="1">'FC1 2024'!$A$17:$X$126</definedName>
    <definedName name="_xlnm._FilterDatabase" localSheetId="0" hidden="1">summary!$A$13:$D$88</definedName>
    <definedName name="_xlnm._FilterDatabase" localSheetId="5" hidden="1">'WORKING PAPER FC1'!$I$19:$K$19</definedName>
    <definedName name="ALL_CHECKDATE" localSheetId="10">#REF!</definedName>
    <definedName name="ALL_CHECKDATE" localSheetId="1">#REF!</definedName>
    <definedName name="ALL_CHECKDATE" localSheetId="7">#REF!</definedName>
    <definedName name="ALL_CHECKDATE" localSheetId="6">#REF!</definedName>
    <definedName name="ALL_CHECKDATE">#REF!</definedName>
    <definedName name="ALL_CYCLE" localSheetId="10">#REF!</definedName>
    <definedName name="ALL_CYCLE" localSheetId="1">#REF!</definedName>
    <definedName name="ALL_CYCLE" localSheetId="7">#REF!</definedName>
    <definedName name="ALL_CYCLE" localSheetId="6">#REF!</definedName>
    <definedName name="ALL_CYCLE">#REF!</definedName>
    <definedName name="ALL_DISBURSED" localSheetId="10">#REF!</definedName>
    <definedName name="ALL_DISBURSED" localSheetId="1">#REF!</definedName>
    <definedName name="ALL_DISBURSED" localSheetId="7">#REF!</definedName>
    <definedName name="ALL_DISBURSED" localSheetId="6">#REF!</definedName>
    <definedName name="ALL_DISBURSED">#REF!</definedName>
    <definedName name="ALL_eRFRS" localSheetId="10">#REF!</definedName>
    <definedName name="ALL_eRFRS" localSheetId="1">#REF!</definedName>
    <definedName name="ALL_eRFRS" localSheetId="7">#REF!</definedName>
    <definedName name="ALL_eRFRS" localSheetId="6">#REF!</definedName>
    <definedName name="ALL_eRFRS">#REF!</definedName>
    <definedName name="ALL_GRANT" localSheetId="10">#REF!</definedName>
    <definedName name="ALL_GRANT" localSheetId="1">#REF!</definedName>
    <definedName name="ALL_GRANT" localSheetId="7">#REF!</definedName>
    <definedName name="ALL_GRANT" localSheetId="6">#REF!</definedName>
    <definedName name="ALL_GRANT">#REF!</definedName>
    <definedName name="ALL_GROUP" localSheetId="10">#REF!</definedName>
    <definedName name="ALL_GROUP" localSheetId="1">#REF!</definedName>
    <definedName name="ALL_GROUP" localSheetId="7">#REF!</definedName>
    <definedName name="ALL_GROUP" localSheetId="6">#REF!</definedName>
    <definedName name="ALL_GROUP">#REF!</definedName>
    <definedName name="ALL_LCC" localSheetId="10">#REF!</definedName>
    <definedName name="ALL_LCC" localSheetId="1">#REF!</definedName>
    <definedName name="ALL_LCC" localSheetId="7">#REF!</definedName>
    <definedName name="ALL_LCC" localSheetId="6">#REF!</definedName>
    <definedName name="ALL_LCC">#REF!</definedName>
    <definedName name="ALL_OBLIGATED" localSheetId="10">#REF!</definedName>
    <definedName name="ALL_OBLIGATED" localSheetId="1">#REF!</definedName>
    <definedName name="ALL_OBLIGATED" localSheetId="7">#REF!</definedName>
    <definedName name="ALL_OBLIGATED" localSheetId="6">#REF!</definedName>
    <definedName name="ALL_OBLIGATED">#REF!</definedName>
    <definedName name="ALL_RFR_AMOUNT" localSheetId="10">#REF!</definedName>
    <definedName name="ALL_RFR_AMOUNT" localSheetId="1">#REF!</definedName>
    <definedName name="ALL_RFR_AMOUNT" localSheetId="7">#REF!</definedName>
    <definedName name="ALL_RFR_AMOUNT" localSheetId="6">#REF!</definedName>
    <definedName name="ALL_RFR_AMOUNT">#REF!</definedName>
    <definedName name="ALL_STATUS" localSheetId="10">#REF!</definedName>
    <definedName name="ALL_STATUS" localSheetId="1">#REF!</definedName>
    <definedName name="ALL_STATUS" localSheetId="7">#REF!</definedName>
    <definedName name="ALL_STATUS" localSheetId="6">#REF!</definedName>
    <definedName name="ALL_STATUS">#REF!</definedName>
    <definedName name="ALL_TPC" localSheetId="10">#REF!</definedName>
    <definedName name="ALL_TPC" localSheetId="1">#REF!</definedName>
    <definedName name="ALL_TPC" localSheetId="7">#REF!</definedName>
    <definedName name="ALL_TPC" localSheetId="6">#REF!</definedName>
    <definedName name="ALL_TPC">#REF!</definedName>
    <definedName name="ALL_TRANCHE" localSheetId="10">#REF!</definedName>
    <definedName name="ALL_TRANCHE" localSheetId="1">#REF!</definedName>
    <definedName name="ALL_TRANCHE" localSheetId="7">#REF!</definedName>
    <definedName name="ALL_TRANCHE" localSheetId="6">#REF!</definedName>
    <definedName name="ALL_TRANCHE">#REF!</definedName>
    <definedName name="ALL_YEAR" localSheetId="10">#REF!</definedName>
    <definedName name="ALL_YEAR" localSheetId="1">#REF!</definedName>
    <definedName name="ALL_YEAR" localSheetId="7">#REF!</definedName>
    <definedName name="ALL_YEAR" localSheetId="6">#REF!</definedName>
    <definedName name="ALL_YEAR">#REF!</definedName>
    <definedName name="ARMM" localSheetId="11">#REF!</definedName>
    <definedName name="ARMM" localSheetId="10">#REF!</definedName>
    <definedName name="ARMM" localSheetId="1">#REF!</definedName>
    <definedName name="ARMM" localSheetId="7">#REF!</definedName>
    <definedName name="ARMM" localSheetId="2">#REF!</definedName>
    <definedName name="ARMM" localSheetId="6">#REF!</definedName>
    <definedName name="ARMM">#REF!</definedName>
    <definedName name="CAR" localSheetId="11">#REF!</definedName>
    <definedName name="CAR" localSheetId="10">#REF!</definedName>
    <definedName name="CAR" localSheetId="1">#REF!</definedName>
    <definedName name="CAR" localSheetId="7">#REF!</definedName>
    <definedName name="CAR" localSheetId="2">#REF!</definedName>
    <definedName name="CAR" localSheetId="6">#REF!</definedName>
    <definedName name="CAR">#REF!</definedName>
    <definedName name="CARAGA" localSheetId="11">#REF!</definedName>
    <definedName name="CARAGA" localSheetId="10">#REF!</definedName>
    <definedName name="CARAGA" localSheetId="1">#REF!</definedName>
    <definedName name="CARAGA" localSheetId="7">#REF!</definedName>
    <definedName name="CARAGA" localSheetId="2">#REF!</definedName>
    <definedName name="CARAGA" localSheetId="6">#REF!</definedName>
    <definedName name="CARAGA">#REF!</definedName>
    <definedName name="cdo" localSheetId="11">#REF!</definedName>
    <definedName name="cdo" localSheetId="10">#REF!</definedName>
    <definedName name="cdo" localSheetId="1">#REF!</definedName>
    <definedName name="cdo" localSheetId="7">#REF!</definedName>
    <definedName name="cdo" localSheetId="2">#REF!</definedName>
    <definedName name="cdo" localSheetId="6">#REF!</definedName>
    <definedName name="cdo">#REF!</definedName>
    <definedName name="CO" localSheetId="11">#REF!</definedName>
    <definedName name="CO" localSheetId="10">#REF!</definedName>
    <definedName name="CO" localSheetId="1">#REF!</definedName>
    <definedName name="CO" localSheetId="7">#REF!</definedName>
    <definedName name="CO" localSheetId="2">#REF!</definedName>
    <definedName name="CO" localSheetId="6">#REF!</definedName>
    <definedName name="CO">#REF!</definedName>
    <definedName name="CYCLE">[1]Reference!$G$2:$G$5</definedName>
    <definedName name="DOSE" localSheetId="11">#REF!</definedName>
    <definedName name="DOSE" localSheetId="10">#REF!</definedName>
    <definedName name="DOSE" localSheetId="1">#REF!</definedName>
    <definedName name="DOSE" localSheetId="7">#REF!</definedName>
    <definedName name="DOSE" localSheetId="2">#REF!</definedName>
    <definedName name="DOSE" localSheetId="6">#REF!</definedName>
    <definedName name="DOSE">#REF!</definedName>
    <definedName name="eRFRS">[1]Reference!$E$2:$E$3</definedName>
    <definedName name="Excel_BuiltIn__FilterDatabase_1" localSheetId="1">'[2]DBASE.DISB GOP'!$A$12:$IV$316</definedName>
    <definedName name="Excel_BuiltIn__FilterDatabase_1" localSheetId="2">'[2]DBASE.DISB GOP'!$A$12:$IV$316</definedName>
    <definedName name="Excel_BuiltIn__FilterDatabase_1" localSheetId="6">'[3]DBASE.DISB GOP'!$A$12:$IV$316</definedName>
    <definedName name="Excel_BuiltIn__FilterDatabase_1">'[3]DBASE.DISB GOP'!$A$12:$IV$316</definedName>
    <definedName name="Excel_BuiltIn__FilterDatabase_2" localSheetId="11">#REF!</definedName>
    <definedName name="Excel_BuiltIn__FilterDatabase_2" localSheetId="10">#REF!</definedName>
    <definedName name="Excel_BuiltIn__FilterDatabase_2" localSheetId="1">#REF!</definedName>
    <definedName name="Excel_BuiltIn__FilterDatabase_2" localSheetId="7">#REF!</definedName>
    <definedName name="Excel_BuiltIn__FilterDatabase_2" localSheetId="2">#REF!</definedName>
    <definedName name="Excel_BuiltIn__FilterDatabase_2" localSheetId="6">#REF!</definedName>
    <definedName name="Excel_BuiltIn__FilterDatabase_2">#REF!</definedName>
    <definedName name="FIVE" localSheetId="11">#REF!</definedName>
    <definedName name="FIVE" localSheetId="10">#REF!</definedName>
    <definedName name="FIVE" localSheetId="1">#REF!</definedName>
    <definedName name="FIVE" localSheetId="7">#REF!</definedName>
    <definedName name="FIVE" localSheetId="2">#REF!</definedName>
    <definedName name="FIVE" localSheetId="6">#REF!</definedName>
    <definedName name="FIVE">#REF!</definedName>
    <definedName name="FOUR" localSheetId="11">#REF!</definedName>
    <definedName name="FOUR" localSheetId="10">#REF!</definedName>
    <definedName name="FOUR" localSheetId="1">#REF!</definedName>
    <definedName name="FOUR" localSheetId="7">#REF!</definedName>
    <definedName name="FOUR" localSheetId="2">#REF!</definedName>
    <definedName name="FOUR" localSheetId="6">#REF!</definedName>
    <definedName name="FOUR">#REF!</definedName>
    <definedName name="FUND_SOURCE">[1]Reference!$A$2:$A$3</definedName>
    <definedName name="GROUP">[1]Reference!$B$2:$B$4</definedName>
    <definedName name="MUNIS">[1]Reference!$D$2:$D$73</definedName>
    <definedName name="NamedRange1" localSheetId="10">#REF!</definedName>
    <definedName name="NamedRange1" localSheetId="1">#REF!</definedName>
    <definedName name="NamedRange1" localSheetId="7">#REF!</definedName>
    <definedName name="NamedRange1" localSheetId="6">#REF!</definedName>
    <definedName name="NamedRange1">#REF!</definedName>
    <definedName name="NamedRange2" localSheetId="10">#REF!</definedName>
    <definedName name="NamedRange2" localSheetId="1">#REF!</definedName>
    <definedName name="NamedRange2" localSheetId="7">#REF!</definedName>
    <definedName name="NamedRange2" localSheetId="6">#REF!</definedName>
    <definedName name="NamedRange2">#REF!</definedName>
    <definedName name="NamedRange4" localSheetId="10">#REF!</definedName>
    <definedName name="NamedRange4" localSheetId="1">#REF!</definedName>
    <definedName name="NamedRange4" localSheetId="7">#REF!</definedName>
    <definedName name="NamedRange4" localSheetId="6">#REF!</definedName>
    <definedName name="NamedRange4">#REF!</definedName>
    <definedName name="NCR" localSheetId="11">#REF!</definedName>
    <definedName name="NCR" localSheetId="10">#REF!</definedName>
    <definedName name="NCR" localSheetId="1">#REF!</definedName>
    <definedName name="NCR" localSheetId="7">#REF!</definedName>
    <definedName name="NCR" localSheetId="2">#REF!</definedName>
    <definedName name="NCR" localSheetId="6">#REF!</definedName>
    <definedName name="NCR">#REF!</definedName>
    <definedName name="NINE" localSheetId="11">#REF!</definedName>
    <definedName name="NINE" localSheetId="10">#REF!</definedName>
    <definedName name="NINE" localSheetId="1">#REF!</definedName>
    <definedName name="NINE" localSheetId="7">#REF!</definedName>
    <definedName name="NINE" localSheetId="2">#REF!</definedName>
    <definedName name="NINE" localSheetId="6">#REF!</definedName>
    <definedName name="NINE">#REF!</definedName>
    <definedName name="o" localSheetId="11">#REF!</definedName>
    <definedName name="o" localSheetId="10">#REF!</definedName>
    <definedName name="o" localSheetId="1">#REF!</definedName>
    <definedName name="o" localSheetId="7">#REF!</definedName>
    <definedName name="o" localSheetId="2">#REF!</definedName>
    <definedName name="o" localSheetId="6">#REF!</definedName>
    <definedName name="o">#REF!</definedName>
    <definedName name="ONE" localSheetId="11">#REF!</definedName>
    <definedName name="ONE" localSheetId="10">#REF!</definedName>
    <definedName name="ONE" localSheetId="1">#REF!</definedName>
    <definedName name="ONE" localSheetId="7">#REF!</definedName>
    <definedName name="ONE" localSheetId="2">#REF!</definedName>
    <definedName name="ONE" localSheetId="6">#REF!</definedName>
    <definedName name="ONE">#REF!</definedName>
    <definedName name="ONSE" localSheetId="11">#REF!</definedName>
    <definedName name="ONSE" localSheetId="10">#REF!</definedName>
    <definedName name="ONSE" localSheetId="1">#REF!</definedName>
    <definedName name="ONSE" localSheetId="7">#REF!</definedName>
    <definedName name="ONSE" localSheetId="2">#REF!</definedName>
    <definedName name="ONSE" localSheetId="6">#REF!</definedName>
    <definedName name="ONSE">#REF!</definedName>
    <definedName name="OTSO" localSheetId="11">#REF!</definedName>
    <definedName name="OTSO" localSheetId="10">#REF!</definedName>
    <definedName name="OTSO" localSheetId="1">#REF!</definedName>
    <definedName name="OTSO" localSheetId="7">#REF!</definedName>
    <definedName name="OTSO" localSheetId="2">#REF!</definedName>
    <definedName name="OTSO" localSheetId="6">#REF!</definedName>
    <definedName name="OTSO">#REF!</definedName>
    <definedName name="_xlnm.Print_Area" localSheetId="11">' FC 7 '!$A$1:$P$51</definedName>
    <definedName name="_xlnm.Print_Area" localSheetId="10">' FC 7 2024'!$A$1:$P$60</definedName>
    <definedName name="_xlnm.Print_Area" localSheetId="1">'CONSO BOAS 2023 (FC1,2,3,4,7)'!$A$1:$S$179</definedName>
    <definedName name="_xlnm.Print_Area" localSheetId="7">'FC 3 2024'!$A$1:$Q$52</definedName>
    <definedName name="_xlnm.Print_Area" localSheetId="8">'FC 4 DECEMBER'!$A$1:$Q$54</definedName>
    <definedName name="_xlnm.Print_Area" localSheetId="9">'FC 6 DECEMBER'!$A$1:$Q$46</definedName>
    <definedName name="_xlnm.Print_Area" localSheetId="2">'FC1 2024'!$A$1:$S$130</definedName>
    <definedName name="_xlnm.Print_Area" localSheetId="6">'FC2'!$A$1:$Q$64</definedName>
    <definedName name="Print_Area_1" localSheetId="1">'[2]DBASE.DISB GOP'!$K$12:$K$316</definedName>
    <definedName name="Print_Area_1" localSheetId="2">'[2]DBASE.DISB GOP'!$K$12:$K$316</definedName>
    <definedName name="Print_Area_1" localSheetId="6">'[3]DBASE.DISB GOP'!$K$12:$K$316</definedName>
    <definedName name="Print_Area_1">'[3]DBASE.DISB GOP'!$K$12:$K$316</definedName>
    <definedName name="Print_Area_2" localSheetId="11">#REF!</definedName>
    <definedName name="Print_Area_2" localSheetId="10">#REF!</definedName>
    <definedName name="Print_Area_2" localSheetId="1">#REF!</definedName>
    <definedName name="Print_Area_2" localSheetId="7">#REF!</definedName>
    <definedName name="Print_Area_2" localSheetId="2">#REF!</definedName>
    <definedName name="Print_Area_2" localSheetId="6">#REF!</definedName>
    <definedName name="Print_Area_2">#REF!</definedName>
    <definedName name="_xlnm.Print_Titles" localSheetId="1">'CONSO BOAS 2023 (FC1,2,3,4,7)'!$6:$8</definedName>
    <definedName name="_xlnm.Print_Titles" localSheetId="2">'FC1 2024'!$6:$8</definedName>
    <definedName name="Print_Titles_1" localSheetId="1">'[2]DBASE.DISB GOP'!$A$10:$IV$13</definedName>
    <definedName name="Print_Titles_1" localSheetId="2">'[2]DBASE.DISB GOP'!$A$10:$IV$13</definedName>
    <definedName name="Print_Titles_1" localSheetId="6">'[3]DBASE.DISB GOP'!$A$10:$IV$13</definedName>
    <definedName name="Print_Titles_1">'[3]DBASE.DISB GOP'!$A$10:$IV$13</definedName>
    <definedName name="Print_Titles_2" localSheetId="11">#REF!</definedName>
    <definedName name="Print_Titles_2" localSheetId="10">#REF!</definedName>
    <definedName name="Print_Titles_2" localSheetId="1">#REF!</definedName>
    <definedName name="Print_Titles_2" localSheetId="7">#REF!</definedName>
    <definedName name="Print_Titles_2" localSheetId="2">#REF!</definedName>
    <definedName name="Print_Titles_2" localSheetId="6">#REF!</definedName>
    <definedName name="Print_Titles_2">#REF!</definedName>
    <definedName name="printing" localSheetId="11">#REF!</definedName>
    <definedName name="printing" localSheetId="10">#REF!</definedName>
    <definedName name="printing" localSheetId="1">#REF!</definedName>
    <definedName name="printing" localSheetId="7">#REF!</definedName>
    <definedName name="printing" localSheetId="2">#REF!</definedName>
    <definedName name="printing" localSheetId="6">#REF!</definedName>
    <definedName name="printing">#REF!</definedName>
    <definedName name="printingdecember" localSheetId="11">#REF!</definedName>
    <definedName name="printingdecember" localSheetId="10">#REF!</definedName>
    <definedName name="printingdecember" localSheetId="1">#REF!</definedName>
    <definedName name="printingdecember" localSheetId="7">#REF!</definedName>
    <definedName name="printingdecember" localSheetId="2">#REF!</definedName>
    <definedName name="printingdecember" localSheetId="6">#REF!</definedName>
    <definedName name="printingdecember">#REF!</definedName>
    <definedName name="PROVINCE">[1]Reference!$C$2:$C$6</definedName>
    <definedName name="QuarterResults" localSheetId="11">#REF!</definedName>
    <definedName name="QuarterResults" localSheetId="10">#REF!</definedName>
    <definedName name="QuarterResults" localSheetId="1">#REF!</definedName>
    <definedName name="QuarterResults" localSheetId="7">#REF!</definedName>
    <definedName name="QuarterResults" localSheetId="2">#REF!</definedName>
    <definedName name="QuarterResults" localSheetId="6">#REF!</definedName>
    <definedName name="QuarterResults">#REF!</definedName>
    <definedName name="RESPONSIBLE">[1]Reference!$J$2:$J$22</definedName>
    <definedName name="ROCO" localSheetId="11">#REF!</definedName>
    <definedName name="ROCO" localSheetId="10">#REF!</definedName>
    <definedName name="ROCO" localSheetId="1">#REF!</definedName>
    <definedName name="ROCO" localSheetId="7">#REF!</definedName>
    <definedName name="ROCO" localSheetId="2">#REF!</definedName>
    <definedName name="ROCO" localSheetId="6">#REF!</definedName>
    <definedName name="ROCO">#REF!</definedName>
    <definedName name="SEVEN" localSheetId="11">#REF!</definedName>
    <definedName name="SEVEN" localSheetId="10">#REF!</definedName>
    <definedName name="SEVEN" localSheetId="1">#REF!</definedName>
    <definedName name="SEVEN" localSheetId="7">#REF!</definedName>
    <definedName name="SEVEN" localSheetId="2">#REF!</definedName>
    <definedName name="SEVEN" localSheetId="6">#REF!</definedName>
    <definedName name="SEVEN">#REF!</definedName>
    <definedName name="SIX" localSheetId="11">#REF!</definedName>
    <definedName name="SIX" localSheetId="10">#REF!</definedName>
    <definedName name="SIX" localSheetId="1">#REF!</definedName>
    <definedName name="SIX" localSheetId="7">#REF!</definedName>
    <definedName name="SIX" localSheetId="2">#REF!</definedName>
    <definedName name="SIX" localSheetId="6">#REF!</definedName>
    <definedName name="SIX">#REF!</definedName>
    <definedName name="STATUS">[1]Reference!$I$2:$I$120</definedName>
    <definedName name="TAF_BRGY" localSheetId="10">#REF!</definedName>
    <definedName name="TAF_BRGY" localSheetId="1">#REF!</definedName>
    <definedName name="TAF_BRGY" localSheetId="7">#REF!</definedName>
    <definedName name="TAF_BRGY" localSheetId="6">#REF!</definedName>
    <definedName name="TAF_BRGY">#REF!</definedName>
    <definedName name="TAF_CHECKDATE" localSheetId="10">#REF!</definedName>
    <definedName name="TAF_CHECKDATE" localSheetId="1">#REF!</definedName>
    <definedName name="TAF_CHECKDATE" localSheetId="7">#REF!</definedName>
    <definedName name="TAF_CHECKDATE" localSheetId="6">#REF!</definedName>
    <definedName name="TAF_CHECKDATE">#REF!</definedName>
    <definedName name="TAF_CYCLE" localSheetId="10">#REF!</definedName>
    <definedName name="TAF_CYCLE" localSheetId="1">#REF!</definedName>
    <definedName name="TAF_CYCLE" localSheetId="7">#REF!</definedName>
    <definedName name="TAF_CYCLE" localSheetId="6">#REF!</definedName>
    <definedName name="TAF_CYCLE">#REF!</definedName>
    <definedName name="TAF_DISBURSED" localSheetId="10">#REF!</definedName>
    <definedName name="TAF_DISBURSED" localSheetId="1">#REF!</definedName>
    <definedName name="TAF_DISBURSED" localSheetId="7">#REF!</definedName>
    <definedName name="TAF_DISBURSED" localSheetId="6">#REF!</definedName>
    <definedName name="TAF_DISBURSED">#REF!</definedName>
    <definedName name="TAF_eRFRS" localSheetId="10">#REF!</definedName>
    <definedName name="TAF_eRFRS" localSheetId="1">#REF!</definedName>
    <definedName name="TAF_eRFRS" localSheetId="7">#REF!</definedName>
    <definedName name="TAF_eRFRS" localSheetId="6">#REF!</definedName>
    <definedName name="TAF_eRFRS">#REF!</definedName>
    <definedName name="TAF_GRANT" localSheetId="10">#REF!</definedName>
    <definedName name="TAF_GRANT" localSheetId="1">#REF!</definedName>
    <definedName name="TAF_GRANT" localSheetId="7">#REF!</definedName>
    <definedName name="TAF_GRANT" localSheetId="6">#REF!</definedName>
    <definedName name="TAF_GRANT">#REF!</definedName>
    <definedName name="TAF_GROUP" localSheetId="10">#REF!</definedName>
    <definedName name="TAF_GROUP" localSheetId="1">#REF!</definedName>
    <definedName name="TAF_GROUP" localSheetId="7">#REF!</definedName>
    <definedName name="TAF_GROUP" localSheetId="6">#REF!</definedName>
    <definedName name="TAF_GROUP">#REF!</definedName>
    <definedName name="TAF_LCC" localSheetId="10">#REF!</definedName>
    <definedName name="TAF_LCC" localSheetId="1">#REF!</definedName>
    <definedName name="TAF_LCC" localSheetId="7">#REF!</definedName>
    <definedName name="TAF_LCC" localSheetId="6">#REF!</definedName>
    <definedName name="TAF_LCC">#REF!</definedName>
    <definedName name="TAF_MUNIS" localSheetId="10">#REF!</definedName>
    <definedName name="TAF_MUNIS" localSheetId="1">#REF!</definedName>
    <definedName name="TAF_MUNIS" localSheetId="7">#REF!</definedName>
    <definedName name="TAF_MUNIS" localSheetId="6">#REF!</definedName>
    <definedName name="TAF_MUNIS">#REF!</definedName>
    <definedName name="TAF_OBLIGATED" localSheetId="10">#REF!</definedName>
    <definedName name="TAF_OBLIGATED" localSheetId="1">#REF!</definedName>
    <definedName name="TAF_OBLIGATED" localSheetId="7">#REF!</definedName>
    <definedName name="TAF_OBLIGATED" localSheetId="6">#REF!</definedName>
    <definedName name="TAF_OBLIGATED">#REF!</definedName>
    <definedName name="TAF_STATUS" localSheetId="10">#REF!</definedName>
    <definedName name="TAF_STATUS" localSheetId="1">#REF!</definedName>
    <definedName name="TAF_STATUS" localSheetId="7">#REF!</definedName>
    <definedName name="TAF_STATUS" localSheetId="6">#REF!</definedName>
    <definedName name="TAF_STATUS">#REF!</definedName>
    <definedName name="TAF_TAF_AMOUNT" localSheetId="10">#REF!</definedName>
    <definedName name="TAF_TAF_AMOUNT" localSheetId="1">#REF!</definedName>
    <definedName name="TAF_TAF_AMOUNT" localSheetId="7">#REF!</definedName>
    <definedName name="TAF_TAF_AMOUNT" localSheetId="6">#REF!</definedName>
    <definedName name="TAF_TAF_AMOUNT">#REF!</definedName>
    <definedName name="TAF_TPC" localSheetId="10">#REF!</definedName>
    <definedName name="TAF_TPC" localSheetId="1">#REF!</definedName>
    <definedName name="TAF_TPC" localSheetId="7">#REF!</definedName>
    <definedName name="TAF_TPC" localSheetId="6">#REF!</definedName>
    <definedName name="TAF_TPC">#REF!</definedName>
    <definedName name="TAF_TRANCHE" localSheetId="10">#REF!</definedName>
    <definedName name="TAF_TRANCHE" localSheetId="1">#REF!</definedName>
    <definedName name="TAF_TRANCHE" localSheetId="7">#REF!</definedName>
    <definedName name="TAF_TRANCHE" localSheetId="6">#REF!</definedName>
    <definedName name="TAF_TRANCHE">#REF!</definedName>
    <definedName name="TAF_YEAR" localSheetId="10">#REF!</definedName>
    <definedName name="TAF_YEAR" localSheetId="1">#REF!</definedName>
    <definedName name="TAF_YEAR" localSheetId="7">#REF!</definedName>
    <definedName name="TAF_YEAR" localSheetId="6">#REF!</definedName>
    <definedName name="TAF_YEAR">#REF!</definedName>
    <definedName name="TEN" localSheetId="11">#REF!</definedName>
    <definedName name="TEN" localSheetId="10">#REF!</definedName>
    <definedName name="TEN" localSheetId="1">#REF!</definedName>
    <definedName name="TEN" localSheetId="7">#REF!</definedName>
    <definedName name="TEN" localSheetId="2">#REF!</definedName>
    <definedName name="TEN" localSheetId="6">#REF!</definedName>
    <definedName name="TEN">#REF!</definedName>
    <definedName name="THREE" localSheetId="11">#REF!</definedName>
    <definedName name="THREE" localSheetId="10">#REF!</definedName>
    <definedName name="THREE" localSheetId="1">#REF!</definedName>
    <definedName name="THREE" localSheetId="7">#REF!</definedName>
    <definedName name="THREE" localSheetId="2">#REF!</definedName>
    <definedName name="THREE" localSheetId="6">#REF!</definedName>
    <definedName name="THREE">#REF!</definedName>
    <definedName name="TRANCHE">[1]Reference!$F$2:$F$5</definedName>
    <definedName name="TWO" localSheetId="11">#REF!</definedName>
    <definedName name="TWO" localSheetId="10">#REF!</definedName>
    <definedName name="TWO" localSheetId="1">#REF!</definedName>
    <definedName name="TWO" localSheetId="7">#REF!</definedName>
    <definedName name="TWO" localSheetId="2">#REF!</definedName>
    <definedName name="TWO" localSheetId="6">#REF!</definedName>
    <definedName name="TWO">#REF!</definedName>
    <definedName name="YEAR">[1]Reference!$H$2:$H$7</definedName>
  </definedNames>
  <calcPr calcId="152511"/>
  <pivotCaches>
    <pivotCache cacheId="0" r:id="rId50"/>
    <pivotCache cacheId="1" r:id="rId51"/>
    <pivotCache cacheId="2" r:id="rId52"/>
    <pivotCache cacheId="3" r:id="rId53"/>
    <pivotCache cacheId="4" r:id="rId54"/>
    <pivotCache cacheId="5" r:id="rId55"/>
    <pivotCache cacheId="6" r:id="rId56"/>
    <pivotCache cacheId="7" r:id="rId57"/>
    <pivotCache cacheId="8" r:id="rId58"/>
    <pivotCache cacheId="9" r:id="rId59"/>
    <pivotCache cacheId="10" r:id="rId60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9" l="1"/>
  <c r="L22" i="9" l="1"/>
  <c r="M22" i="9" s="1"/>
  <c r="O44" i="7" l="1"/>
  <c r="O43" i="7"/>
  <c r="I43" i="7"/>
  <c r="K43" i="7"/>
  <c r="K44" i="7"/>
  <c r="I44" i="7"/>
  <c r="O33" i="9" l="1"/>
  <c r="J87" i="7" l="1"/>
  <c r="J86" i="7"/>
  <c r="N86" i="7" s="1"/>
  <c r="Q86" i="7" s="1"/>
  <c r="J85" i="7"/>
  <c r="J84" i="7"/>
  <c r="J81" i="7"/>
  <c r="G58" i="7"/>
  <c r="G38" i="7"/>
  <c r="G48" i="7"/>
  <c r="G28" i="7"/>
  <c r="G39" i="7"/>
  <c r="G56" i="7"/>
  <c r="G24" i="7"/>
  <c r="G23" i="7"/>
  <c r="G17" i="7"/>
  <c r="N135" i="11"/>
  <c r="K81" i="7" l="1"/>
  <c r="K84" i="7"/>
  <c r="N85" i="7"/>
  <c r="Q85" i="7" s="1"/>
  <c r="K87" i="7"/>
  <c r="N87" i="7"/>
  <c r="K85" i="7"/>
  <c r="K86" i="7"/>
  <c r="N84" i="7"/>
  <c r="Q84" i="7" s="1"/>
  <c r="N81" i="7"/>
  <c r="Q81" i="7" s="1"/>
  <c r="E17" i="9"/>
  <c r="Q87" i="7" l="1"/>
  <c r="E11" i="9"/>
  <c r="E47" i="9" s="1"/>
  <c r="L23" i="9"/>
  <c r="G74" i="7" l="1"/>
  <c r="K74" i="7" s="1"/>
  <c r="I74" i="7" l="1"/>
  <c r="I22" i="9"/>
  <c r="H17" i="9"/>
  <c r="I19" i="9"/>
  <c r="G17" i="9"/>
  <c r="O74" i="7" l="1"/>
  <c r="K17" i="9"/>
  <c r="N41" i="9"/>
  <c r="P74" i="7" l="1"/>
  <c r="L17" i="9"/>
  <c r="M17" i="9"/>
  <c r="D36" i="10"/>
  <c r="O2" i="11" l="1"/>
  <c r="G90" i="7" s="1"/>
  <c r="L98" i="11" l="1"/>
  <c r="G92" i="7" s="1"/>
  <c r="G57" i="7"/>
  <c r="G51" i="7"/>
  <c r="N92" i="7" l="1"/>
  <c r="P92" i="7" s="1"/>
  <c r="J92" i="7"/>
  <c r="K92" i="7"/>
  <c r="L97" i="11"/>
  <c r="L10" i="11"/>
  <c r="G27" i="7"/>
  <c r="G22" i="7"/>
  <c r="G46" i="7"/>
  <c r="L6" i="11" l="1"/>
  <c r="L7" i="11"/>
  <c r="L101" i="11" s="1"/>
  <c r="L2" i="11"/>
  <c r="N112" i="11"/>
  <c r="L8" i="11" l="1"/>
  <c r="G35" i="7"/>
  <c r="G91" i="11" l="1"/>
  <c r="G92" i="11"/>
  <c r="G32" i="7" s="1"/>
  <c r="G65" i="7"/>
  <c r="G31" i="7"/>
  <c r="G26" i="7"/>
  <c r="G63" i="7"/>
  <c r="G30" i="7"/>
  <c r="G36" i="7"/>
  <c r="G44" i="7"/>
  <c r="G70" i="7"/>
  <c r="I48" i="7" l="1"/>
  <c r="K48" i="7"/>
  <c r="G88" i="11"/>
  <c r="G89" i="11"/>
  <c r="G33" i="7" s="1"/>
  <c r="O48" i="7" l="1"/>
  <c r="P48" i="7" s="1"/>
  <c r="G83" i="11"/>
  <c r="G81" i="11"/>
  <c r="J89" i="11"/>
  <c r="H81" i="11" l="1"/>
  <c r="G73" i="11" l="1"/>
  <c r="G72" i="11" l="1"/>
  <c r="H73" i="11"/>
  <c r="J79" i="11"/>
  <c r="J81" i="11"/>
  <c r="G44" i="11" l="1"/>
  <c r="G9" i="11" l="1"/>
  <c r="I22" i="11"/>
  <c r="G2" i="11" l="1"/>
  <c r="G6" i="11"/>
  <c r="H6" i="11" s="1"/>
  <c r="G4" i="11"/>
  <c r="G89" i="7" s="1"/>
  <c r="G3" i="11"/>
  <c r="I52" i="11"/>
  <c r="H3" i="11" l="1"/>
  <c r="G7" i="11"/>
  <c r="G8" i="11" s="1"/>
  <c r="H2" i="11"/>
  <c r="P44" i="7" l="1"/>
  <c r="G41" i="7"/>
  <c r="G43" i="7"/>
  <c r="B87" i="11" l="1"/>
  <c r="B86" i="11" s="1"/>
  <c r="C87" i="11"/>
  <c r="G53" i="7"/>
  <c r="C6" i="11" l="1"/>
  <c r="C86" i="11"/>
  <c r="D41" i="11"/>
  <c r="E41" i="11" s="1"/>
  <c r="B42" i="11" l="1"/>
  <c r="C3" i="11" s="1"/>
  <c r="D9" i="11" l="1"/>
  <c r="C2" i="11" s="1"/>
  <c r="B9" i="11"/>
  <c r="B7" i="11" l="1"/>
  <c r="Q113" i="7" l="1"/>
  <c r="I55" i="7"/>
  <c r="I53" i="7"/>
  <c r="I33" i="7"/>
  <c r="I30" i="7"/>
  <c r="I31" i="7"/>
  <c r="I23" i="7"/>
  <c r="I22" i="7"/>
  <c r="T153" i="17" l="1"/>
  <c r="P156" i="17" l="1"/>
  <c r="K102" i="7" l="1"/>
  <c r="K101" i="7"/>
  <c r="P102" i="7"/>
  <c r="K115" i="7" l="1"/>
  <c r="K114" i="7"/>
  <c r="L38" i="5" l="1"/>
  <c r="K11" i="17" l="1"/>
  <c r="L43" i="4" l="1"/>
  <c r="L42" i="4"/>
  <c r="L37" i="5" l="1"/>
  <c r="L35" i="5"/>
  <c r="L13" i="5"/>
  <c r="G170" i="17" l="1"/>
  <c r="Q141" i="17"/>
  <c r="N140" i="17"/>
  <c r="P140" i="17" s="1"/>
  <c r="N139" i="17"/>
  <c r="P139" i="17" s="1"/>
  <c r="G137" i="17"/>
  <c r="O137" i="17" s="1"/>
  <c r="Q137" i="17" s="1"/>
  <c r="F137" i="17"/>
  <c r="O136" i="17"/>
  <c r="Q136" i="17" s="1"/>
  <c r="K136" i="17"/>
  <c r="F136" i="17"/>
  <c r="O135" i="17"/>
  <c r="Q135" i="17" s="1"/>
  <c r="K135" i="17"/>
  <c r="I135" i="17"/>
  <c r="F135" i="17"/>
  <c r="I134" i="17"/>
  <c r="G134" i="17"/>
  <c r="K134" i="17" s="1"/>
  <c r="F134" i="17"/>
  <c r="N133" i="17"/>
  <c r="Q133" i="17" s="1"/>
  <c r="O132" i="17"/>
  <c r="Q132" i="17" s="1"/>
  <c r="G132" i="17"/>
  <c r="I132" i="17" s="1"/>
  <c r="K132" i="17" s="1"/>
  <c r="F132" i="17"/>
  <c r="G131" i="17"/>
  <c r="O131" i="17" s="1"/>
  <c r="P131" i="17" s="1"/>
  <c r="F131" i="17"/>
  <c r="N130" i="17"/>
  <c r="S130" i="17" s="1"/>
  <c r="P129" i="17"/>
  <c r="K129" i="17"/>
  <c r="I129" i="17"/>
  <c r="O129" i="17" s="1"/>
  <c r="Q129" i="17" s="1"/>
  <c r="P125" i="17"/>
  <c r="G125" i="17"/>
  <c r="P123" i="17"/>
  <c r="G123" i="17"/>
  <c r="K123" i="17" s="1"/>
  <c r="Q117" i="17"/>
  <c r="G117" i="17"/>
  <c r="S117" i="17" s="1"/>
  <c r="S166" i="17" s="1"/>
  <c r="K116" i="17"/>
  <c r="G116" i="17"/>
  <c r="O116" i="17" s="1"/>
  <c r="P116" i="17" s="1"/>
  <c r="G115" i="17"/>
  <c r="I115" i="17" s="1"/>
  <c r="J114" i="17"/>
  <c r="N114" i="17" s="1"/>
  <c r="G114" i="17"/>
  <c r="O113" i="17"/>
  <c r="P113" i="17" s="1"/>
  <c r="G112" i="17"/>
  <c r="I112" i="17" s="1"/>
  <c r="O112" i="17" s="1"/>
  <c r="P112" i="17" s="1"/>
  <c r="J106" i="17"/>
  <c r="N106" i="17" s="1"/>
  <c r="P106" i="17" s="1"/>
  <c r="G105" i="17"/>
  <c r="J105" i="17" s="1"/>
  <c r="N103" i="17"/>
  <c r="P103" i="17" s="1"/>
  <c r="K103" i="17"/>
  <c r="G103" i="17"/>
  <c r="F102" i="17"/>
  <c r="O83" i="17"/>
  <c r="P83" i="17" s="1"/>
  <c r="S83" i="17" s="1"/>
  <c r="O82" i="17"/>
  <c r="P82" i="17" s="1"/>
  <c r="I82" i="17"/>
  <c r="K82" i="17" s="1"/>
  <c r="O81" i="17"/>
  <c r="P81" i="17" s="1"/>
  <c r="I81" i="17"/>
  <c r="K81" i="17" s="1"/>
  <c r="G80" i="17"/>
  <c r="I80" i="17" s="1"/>
  <c r="O80" i="17" s="1"/>
  <c r="Q80" i="17" s="1"/>
  <c r="F80" i="17"/>
  <c r="D80" i="17"/>
  <c r="P79" i="17"/>
  <c r="G79" i="17"/>
  <c r="J79" i="17" s="1"/>
  <c r="K79" i="17" s="1"/>
  <c r="G78" i="17"/>
  <c r="K78" i="17" s="1"/>
  <c r="F78" i="17"/>
  <c r="D78" i="17"/>
  <c r="D77" i="17"/>
  <c r="G77" i="17" s="1"/>
  <c r="K76" i="17"/>
  <c r="I76" i="17"/>
  <c r="O76" i="17" s="1"/>
  <c r="P76" i="17" s="1"/>
  <c r="F75" i="17"/>
  <c r="D75" i="17"/>
  <c r="G75" i="17" s="1"/>
  <c r="F74" i="17"/>
  <c r="D74" i="17"/>
  <c r="G74" i="17" s="1"/>
  <c r="K74" i="17" s="1"/>
  <c r="G73" i="17"/>
  <c r="I73" i="17" s="1"/>
  <c r="O73" i="17" s="1"/>
  <c r="Q73" i="17" s="1"/>
  <c r="F73" i="17"/>
  <c r="D73" i="17"/>
  <c r="G72" i="17"/>
  <c r="K72" i="17" s="1"/>
  <c r="F72" i="17"/>
  <c r="D72" i="17"/>
  <c r="F71" i="17"/>
  <c r="D71" i="17"/>
  <c r="G71" i="17" s="1"/>
  <c r="G70" i="17"/>
  <c r="K70" i="17" s="1"/>
  <c r="F70" i="17"/>
  <c r="D70" i="17"/>
  <c r="G69" i="17"/>
  <c r="K69" i="17" s="1"/>
  <c r="F68" i="17"/>
  <c r="D68" i="17"/>
  <c r="G68" i="17" s="1"/>
  <c r="K67" i="17"/>
  <c r="I67" i="17"/>
  <c r="O67" i="17" s="1"/>
  <c r="P67" i="17" s="1"/>
  <c r="F66" i="17"/>
  <c r="D66" i="17"/>
  <c r="G66" i="17" s="1"/>
  <c r="K66" i="17" s="1"/>
  <c r="G65" i="17"/>
  <c r="K65" i="17" s="1"/>
  <c r="F65" i="17"/>
  <c r="D65" i="17"/>
  <c r="G64" i="17"/>
  <c r="I64" i="17" s="1"/>
  <c r="O64" i="17" s="1"/>
  <c r="Q64" i="17" s="1"/>
  <c r="F64" i="17"/>
  <c r="D64" i="17"/>
  <c r="G63" i="17"/>
  <c r="K63" i="17" s="1"/>
  <c r="F63" i="17"/>
  <c r="G62" i="17"/>
  <c r="K62" i="17" s="1"/>
  <c r="F62" i="17"/>
  <c r="D62" i="17"/>
  <c r="G61" i="17"/>
  <c r="I61" i="17" s="1"/>
  <c r="O61" i="17" s="1"/>
  <c r="Q61" i="17" s="1"/>
  <c r="F61" i="17"/>
  <c r="D61" i="17"/>
  <c r="K60" i="17"/>
  <c r="I60" i="17"/>
  <c r="O60" i="17" s="1"/>
  <c r="Q60" i="17" s="1"/>
  <c r="F60" i="17"/>
  <c r="D60" i="17"/>
  <c r="F59" i="17"/>
  <c r="D59" i="17"/>
  <c r="G59" i="17" s="1"/>
  <c r="I59" i="17" s="1"/>
  <c r="O59" i="17" s="1"/>
  <c r="P59" i="17" s="1"/>
  <c r="G58" i="17"/>
  <c r="I58" i="17" s="1"/>
  <c r="O58" i="17" s="1"/>
  <c r="Q58" i="17" s="1"/>
  <c r="F58" i="17"/>
  <c r="D58" i="17"/>
  <c r="J57" i="17"/>
  <c r="N57" i="17" s="1"/>
  <c r="G57" i="17"/>
  <c r="F57" i="17"/>
  <c r="D57" i="17"/>
  <c r="G56" i="17"/>
  <c r="I56" i="17" s="1"/>
  <c r="O56" i="17" s="1"/>
  <c r="Q56" i="17" s="1"/>
  <c r="F56" i="17"/>
  <c r="D56" i="17"/>
  <c r="J55" i="17"/>
  <c r="N55" i="17" s="1"/>
  <c r="G55" i="17"/>
  <c r="F55" i="17"/>
  <c r="D55" i="17"/>
  <c r="K54" i="17"/>
  <c r="I54" i="17"/>
  <c r="O54" i="17" s="1"/>
  <c r="P54" i="17" s="1"/>
  <c r="F53" i="17"/>
  <c r="D53" i="17"/>
  <c r="G53" i="17" s="1"/>
  <c r="G52" i="17"/>
  <c r="K52" i="17" s="1"/>
  <c r="F52" i="17"/>
  <c r="D52" i="17"/>
  <c r="G51" i="17"/>
  <c r="K51" i="17" s="1"/>
  <c r="F51" i="17"/>
  <c r="D51" i="17"/>
  <c r="G50" i="17"/>
  <c r="I50" i="17" s="1"/>
  <c r="O50" i="17" s="1"/>
  <c r="P50" i="17" s="1"/>
  <c r="F50" i="17"/>
  <c r="D50" i="17"/>
  <c r="G49" i="17"/>
  <c r="K49" i="17" s="1"/>
  <c r="F49" i="17"/>
  <c r="D49" i="17"/>
  <c r="G48" i="17"/>
  <c r="I48" i="17" s="1"/>
  <c r="O48" i="17" s="1"/>
  <c r="P48" i="17" s="1"/>
  <c r="F48" i="17"/>
  <c r="G47" i="17"/>
  <c r="I47" i="17" s="1"/>
  <c r="G46" i="17"/>
  <c r="K46" i="17" s="1"/>
  <c r="F46" i="17"/>
  <c r="G45" i="17"/>
  <c r="I45" i="17" s="1"/>
  <c r="O45" i="17" s="1"/>
  <c r="P45" i="17" s="1"/>
  <c r="D45" i="17"/>
  <c r="G44" i="17"/>
  <c r="I44" i="17" s="1"/>
  <c r="O44" i="17" s="1"/>
  <c r="Q44" i="17" s="1"/>
  <c r="F44" i="17"/>
  <c r="F43" i="17"/>
  <c r="D43" i="17"/>
  <c r="G43" i="17" s="1"/>
  <c r="G42" i="17"/>
  <c r="K42" i="17" s="1"/>
  <c r="F42" i="17"/>
  <c r="D42" i="17"/>
  <c r="G41" i="17"/>
  <c r="K41" i="17" s="1"/>
  <c r="F41" i="17"/>
  <c r="D41" i="17"/>
  <c r="F40" i="17"/>
  <c r="E40" i="17"/>
  <c r="G40" i="17" s="1"/>
  <c r="I40" i="17" s="1"/>
  <c r="O40" i="17" s="1"/>
  <c r="Q40" i="17" s="1"/>
  <c r="D40" i="17"/>
  <c r="G39" i="17"/>
  <c r="K39" i="17" s="1"/>
  <c r="F39" i="17"/>
  <c r="D39" i="17"/>
  <c r="G38" i="17"/>
  <c r="K38" i="17" s="1"/>
  <c r="F38" i="17"/>
  <c r="D38" i="17"/>
  <c r="K37" i="17"/>
  <c r="I37" i="17"/>
  <c r="O37" i="17" s="1"/>
  <c r="Q37" i="17" s="1"/>
  <c r="F37" i="17"/>
  <c r="D37" i="17"/>
  <c r="F36" i="17"/>
  <c r="G36" i="17" s="1"/>
  <c r="D36" i="17"/>
  <c r="F35" i="17"/>
  <c r="D35" i="17"/>
  <c r="G35" i="17" s="1"/>
  <c r="I35" i="17" s="1"/>
  <c r="K35" i="17" s="1"/>
  <c r="J34" i="17"/>
  <c r="N34" i="17" s="1"/>
  <c r="F34" i="17"/>
  <c r="D34" i="17"/>
  <c r="G34" i="17" s="1"/>
  <c r="I33" i="17"/>
  <c r="O33" i="17" s="1"/>
  <c r="P33" i="17" s="1"/>
  <c r="J32" i="17"/>
  <c r="N32" i="17" s="1"/>
  <c r="G32" i="17"/>
  <c r="F32" i="17"/>
  <c r="D32" i="17"/>
  <c r="G31" i="17"/>
  <c r="I31" i="17" s="1"/>
  <c r="O31" i="17" s="1"/>
  <c r="Q31" i="17" s="1"/>
  <c r="F31" i="17"/>
  <c r="G30" i="17"/>
  <c r="K30" i="17" s="1"/>
  <c r="F30" i="17"/>
  <c r="G29" i="17"/>
  <c r="K29" i="17" s="1"/>
  <c r="F29" i="17"/>
  <c r="D29" i="17"/>
  <c r="G28" i="17"/>
  <c r="I28" i="17" s="1"/>
  <c r="O28" i="17" s="1"/>
  <c r="Q28" i="17" s="1"/>
  <c r="D28" i="17"/>
  <c r="G27" i="17"/>
  <c r="K27" i="17" s="1"/>
  <c r="F27" i="17"/>
  <c r="D27" i="17"/>
  <c r="G26" i="17"/>
  <c r="I26" i="17" s="1"/>
  <c r="O26" i="17" s="1"/>
  <c r="Q26" i="17" s="1"/>
  <c r="F26" i="17"/>
  <c r="D26" i="17"/>
  <c r="F25" i="17"/>
  <c r="G25" i="17" s="1"/>
  <c r="D25" i="17"/>
  <c r="J24" i="17"/>
  <c r="G24" i="17"/>
  <c r="F24" i="17"/>
  <c r="D24" i="17"/>
  <c r="J23" i="17"/>
  <c r="N23" i="17" s="1"/>
  <c r="G23" i="17"/>
  <c r="F23" i="17"/>
  <c r="D23" i="17"/>
  <c r="G22" i="17"/>
  <c r="I22" i="17" s="1"/>
  <c r="O22" i="17" s="1"/>
  <c r="Q22" i="17" s="1"/>
  <c r="F22" i="17"/>
  <c r="D22" i="17"/>
  <c r="G21" i="17"/>
  <c r="K21" i="17" s="1"/>
  <c r="F21" i="17"/>
  <c r="D21" i="17"/>
  <c r="G20" i="17"/>
  <c r="I20" i="17" s="1"/>
  <c r="O20" i="17" s="1"/>
  <c r="Q20" i="17" s="1"/>
  <c r="F20" i="17"/>
  <c r="D20" i="17"/>
  <c r="G19" i="17"/>
  <c r="I19" i="17" s="1"/>
  <c r="O19" i="17" s="1"/>
  <c r="Q19" i="17" s="1"/>
  <c r="F19" i="17"/>
  <c r="D19" i="17"/>
  <c r="G18" i="17"/>
  <c r="K18" i="17" s="1"/>
  <c r="F18" i="17"/>
  <c r="D18" i="17"/>
  <c r="G17" i="17"/>
  <c r="F17" i="17"/>
  <c r="D17" i="17"/>
  <c r="Q14" i="17"/>
  <c r="Q11" i="17" s="1"/>
  <c r="J14" i="17"/>
  <c r="P11" i="17"/>
  <c r="G11" i="17"/>
  <c r="K64" i="17" l="1"/>
  <c r="I72" i="17"/>
  <c r="O72" i="17" s="1"/>
  <c r="Q72" i="17" s="1"/>
  <c r="K80" i="17"/>
  <c r="K33" i="17"/>
  <c r="K105" i="17"/>
  <c r="N105" i="17"/>
  <c r="P105" i="17" s="1"/>
  <c r="O134" i="17"/>
  <c r="Q134" i="17" s="1"/>
  <c r="I70" i="17"/>
  <c r="O70" i="17" s="1"/>
  <c r="P70" i="17" s="1"/>
  <c r="Q130" i="17"/>
  <c r="K14" i="17"/>
  <c r="J11" i="17"/>
  <c r="I78" i="17"/>
  <c r="O78" i="17" s="1"/>
  <c r="P78" i="17" s="1"/>
  <c r="I63" i="17"/>
  <c r="O63" i="17" s="1"/>
  <c r="Q63" i="17" s="1"/>
  <c r="K73" i="17"/>
  <c r="I23" i="17"/>
  <c r="O23" i="17" s="1"/>
  <c r="Q23" i="17" s="1"/>
  <c r="I34" i="17"/>
  <c r="K34" i="17" s="1"/>
  <c r="I57" i="17"/>
  <c r="O57" i="17" s="1"/>
  <c r="Q57" i="17" s="1"/>
  <c r="I32" i="17"/>
  <c r="O32" i="17" s="1"/>
  <c r="Q32" i="17" s="1"/>
  <c r="I114" i="17"/>
  <c r="O114" i="17" s="1"/>
  <c r="P114" i="17" s="1"/>
  <c r="I17" i="17"/>
  <c r="O17" i="17" s="1"/>
  <c r="K17" i="17"/>
  <c r="I24" i="17"/>
  <c r="K24" i="17" s="1"/>
  <c r="K58" i="17"/>
  <c r="I55" i="17"/>
  <c r="O55" i="17" s="1"/>
  <c r="Q55" i="17" s="1"/>
  <c r="K22" i="17"/>
  <c r="K40" i="17"/>
  <c r="K59" i="17"/>
  <c r="K45" i="17"/>
  <c r="K50" i="17"/>
  <c r="K56" i="17"/>
  <c r="K28" i="17"/>
  <c r="K47" i="17"/>
  <c r="O47" i="17" s="1"/>
  <c r="P47" i="17" s="1"/>
  <c r="K112" i="17"/>
  <c r="K19" i="17"/>
  <c r="I42" i="17"/>
  <c r="O42" i="17" s="1"/>
  <c r="Q42" i="17" s="1"/>
  <c r="I52" i="17"/>
  <c r="O52" i="17" s="1"/>
  <c r="P52" i="17" s="1"/>
  <c r="I38" i="17"/>
  <c r="O38" i="17" s="1"/>
  <c r="Q38" i="17" s="1"/>
  <c r="I29" i="17"/>
  <c r="O29" i="17" s="1"/>
  <c r="P29" i="17" s="1"/>
  <c r="K61" i="17"/>
  <c r="K44" i="17"/>
  <c r="O35" i="17"/>
  <c r="P35" i="17" s="1"/>
  <c r="K26" i="17"/>
  <c r="K31" i="17"/>
  <c r="K77" i="17"/>
  <c r="I77" i="17"/>
  <c r="O77" i="17" s="1"/>
  <c r="P77" i="17" s="1"/>
  <c r="K43" i="17"/>
  <c r="I43" i="17"/>
  <c r="O43" i="17" s="1"/>
  <c r="Q43" i="17" s="1"/>
  <c r="K53" i="17"/>
  <c r="I53" i="17"/>
  <c r="O53" i="17" s="1"/>
  <c r="P53" i="17" s="1"/>
  <c r="K36" i="17"/>
  <c r="I36" i="17"/>
  <c r="O36" i="17" s="1"/>
  <c r="Q36" i="17" s="1"/>
  <c r="O115" i="17"/>
  <c r="P115" i="17" s="1"/>
  <c r="K115" i="17"/>
  <c r="K68" i="17"/>
  <c r="I68" i="17"/>
  <c r="O68" i="17" s="1"/>
  <c r="P68" i="17" s="1"/>
  <c r="K75" i="17"/>
  <c r="I75" i="17"/>
  <c r="O75" i="17" s="1"/>
  <c r="P75" i="17" s="1"/>
  <c r="K25" i="17"/>
  <c r="I25" i="17"/>
  <c r="O25" i="17" s="1"/>
  <c r="Q25" i="17" s="1"/>
  <c r="K71" i="17"/>
  <c r="I71" i="17"/>
  <c r="O71" i="17" s="1"/>
  <c r="P71" i="17" s="1"/>
  <c r="I74" i="17"/>
  <c r="O74" i="17" s="1"/>
  <c r="P74" i="17" s="1"/>
  <c r="K20" i="17"/>
  <c r="N24" i="17"/>
  <c r="K48" i="17"/>
  <c r="I62" i="17"/>
  <c r="O62" i="17" s="1"/>
  <c r="Q62" i="17" s="1"/>
  <c r="I18" i="17"/>
  <c r="O18" i="17" s="1"/>
  <c r="Q18" i="17" s="1"/>
  <c r="I27" i="17"/>
  <c r="O27" i="17" s="1"/>
  <c r="Q27" i="17" s="1"/>
  <c r="I41" i="17"/>
  <c r="O41" i="17" s="1"/>
  <c r="Q41" i="17" s="1"/>
  <c r="I46" i="17"/>
  <c r="O46" i="17" s="1"/>
  <c r="P46" i="17" s="1"/>
  <c r="I51" i="17"/>
  <c r="O51" i="17" s="1"/>
  <c r="P51" i="17" s="1"/>
  <c r="J123" i="17"/>
  <c r="N123" i="17" s="1"/>
  <c r="Q123" i="17" s="1"/>
  <c r="I137" i="17"/>
  <c r="I39" i="17"/>
  <c r="O39" i="17" s="1"/>
  <c r="Q39" i="17" s="1"/>
  <c r="I65" i="17"/>
  <c r="O65" i="17" s="1"/>
  <c r="Q65" i="17" s="1"/>
  <c r="K137" i="17"/>
  <c r="I21" i="17"/>
  <c r="O21" i="17" s="1"/>
  <c r="Q21" i="17" s="1"/>
  <c r="I49" i="17"/>
  <c r="O49" i="17" s="1"/>
  <c r="P49" i="17" s="1"/>
  <c r="I30" i="17"/>
  <c r="O30" i="17" s="1"/>
  <c r="P30" i="17" s="1"/>
  <c r="I66" i="17"/>
  <c r="O66" i="17" s="1"/>
  <c r="P66" i="17" s="1"/>
  <c r="I69" i="17"/>
  <c r="O69" i="17" s="1"/>
  <c r="P69" i="17" s="1"/>
  <c r="K106" i="17"/>
  <c r="K23" i="17" l="1"/>
  <c r="N15" i="17"/>
  <c r="K57" i="17"/>
  <c r="K114" i="17"/>
  <c r="O34" i="17"/>
  <c r="O24" i="17"/>
  <c r="Q24" i="17" s="1"/>
  <c r="K32" i="17"/>
  <c r="K55" i="17"/>
  <c r="J15" i="17"/>
  <c r="Q17" i="17"/>
  <c r="Q15" i="17" s="1"/>
  <c r="P13" i="5"/>
  <c r="Q166" i="17" l="1"/>
  <c r="P170" i="17" s="1"/>
  <c r="P34" i="17"/>
  <c r="Q42" i="4"/>
  <c r="Q116" i="7" l="1"/>
  <c r="O46" i="9" l="1"/>
  <c r="O45" i="9" l="1"/>
  <c r="O78" i="7" l="1"/>
  <c r="P78" i="7" s="1"/>
  <c r="S78" i="7" s="1"/>
  <c r="O77" i="7" l="1"/>
  <c r="P77" i="7" s="1"/>
  <c r="I77" i="7"/>
  <c r="K77" i="7" s="1"/>
  <c r="O76" i="7"/>
  <c r="P76" i="7" s="1"/>
  <c r="I76" i="7"/>
  <c r="K76" i="7" s="1"/>
  <c r="N43" i="9" l="1"/>
  <c r="O43" i="9"/>
  <c r="N105" i="7" l="1"/>
  <c r="S105" i="7" s="1"/>
  <c r="Q105" i="7" l="1"/>
  <c r="N108" i="7"/>
  <c r="Q108" i="7" s="1"/>
  <c r="I107" i="7" l="1"/>
  <c r="J83" i="7" l="1"/>
  <c r="K107" i="7"/>
  <c r="K83" i="7" l="1"/>
  <c r="N83" i="7"/>
  <c r="Q83" i="7" l="1"/>
  <c r="O99" i="7"/>
  <c r="N115" i="7"/>
  <c r="N114" i="7"/>
  <c r="P114" i="7" l="1"/>
  <c r="P115" i="7"/>
  <c r="D13" i="5" l="1"/>
  <c r="P31" i="5" l="1"/>
  <c r="Q36" i="5" s="1"/>
  <c r="A3" i="10" l="1"/>
  <c r="A3" i="4"/>
  <c r="A3" i="5" l="1"/>
  <c r="Q96" i="7" l="1"/>
  <c r="S117" i="7"/>
  <c r="S122" i="7" l="1"/>
  <c r="O95" i="7"/>
  <c r="K95" i="7"/>
  <c r="I64" i="7" l="1"/>
  <c r="O64" i="7" s="1"/>
  <c r="P64" i="7" s="1"/>
  <c r="K71" i="7"/>
  <c r="I71" i="7"/>
  <c r="O71" i="7" s="1"/>
  <c r="P71" i="7" s="1"/>
  <c r="K52" i="7"/>
  <c r="I52" i="7"/>
  <c r="O52" i="7" s="1"/>
  <c r="P52" i="7" s="1"/>
  <c r="K64" i="7" l="1"/>
  <c r="K31" i="7" l="1"/>
  <c r="D41" i="7"/>
  <c r="O31" i="7" l="1"/>
  <c r="P31" i="7" s="1"/>
  <c r="I41" i="7" l="1"/>
  <c r="O41" i="7" s="1"/>
  <c r="P41" i="7" s="1"/>
  <c r="K41" i="7"/>
  <c r="O42" i="9"/>
  <c r="N42" i="9"/>
  <c r="O94" i="7" l="1"/>
  <c r="P94" i="7" s="1"/>
  <c r="K94" i="7"/>
  <c r="P95" i="7"/>
  <c r="P43" i="7" l="1"/>
  <c r="D18" i="7" l="1"/>
  <c r="D19" i="7"/>
  <c r="D20" i="7"/>
  <c r="D21" i="7"/>
  <c r="D22" i="7"/>
  <c r="D23" i="7"/>
  <c r="D24" i="7"/>
  <c r="D25" i="7"/>
  <c r="D26" i="7"/>
  <c r="D27" i="7"/>
  <c r="D28" i="7"/>
  <c r="D30" i="7"/>
  <c r="D32" i="7"/>
  <c r="D33" i="7"/>
  <c r="D34" i="7"/>
  <c r="D35" i="7"/>
  <c r="D36" i="7"/>
  <c r="D37" i="7"/>
  <c r="D38" i="7"/>
  <c r="D39" i="7"/>
  <c r="D40" i="7"/>
  <c r="D46" i="7"/>
  <c r="D47" i="7"/>
  <c r="D49" i="7"/>
  <c r="D50" i="7"/>
  <c r="D51" i="7"/>
  <c r="D53" i="7"/>
  <c r="D54" i="7"/>
  <c r="D55" i="7"/>
  <c r="D56" i="7"/>
  <c r="D57" i="7"/>
  <c r="D58" i="7"/>
  <c r="D59" i="7"/>
  <c r="D61" i="7"/>
  <c r="D62" i="7"/>
  <c r="D63" i="7"/>
  <c r="D65" i="7"/>
  <c r="D66" i="7"/>
  <c r="D67" i="7"/>
  <c r="D68" i="7"/>
  <c r="D69" i="7"/>
  <c r="D70" i="7"/>
  <c r="D72" i="7"/>
  <c r="D73" i="7"/>
  <c r="D75" i="7"/>
  <c r="D17" i="7"/>
  <c r="K33" i="7" l="1"/>
  <c r="O33" i="7"/>
  <c r="K72" i="7"/>
  <c r="I72" i="7"/>
  <c r="O72" i="7" s="1"/>
  <c r="P72" i="7" s="1"/>
  <c r="E38" i="7"/>
  <c r="F24" i="7"/>
  <c r="F18" i="7"/>
  <c r="F19" i="7"/>
  <c r="F20" i="7"/>
  <c r="F21" i="7"/>
  <c r="F22" i="7"/>
  <c r="F23" i="7"/>
  <c r="F25" i="7"/>
  <c r="F26" i="7"/>
  <c r="F28" i="7"/>
  <c r="F29" i="7"/>
  <c r="F30" i="7"/>
  <c r="F32" i="7"/>
  <c r="F33" i="7"/>
  <c r="F34" i="7"/>
  <c r="F35" i="7"/>
  <c r="F36" i="7"/>
  <c r="F37" i="7"/>
  <c r="F38" i="7"/>
  <c r="F39" i="7"/>
  <c r="F40" i="7"/>
  <c r="F42" i="7"/>
  <c r="F45" i="7"/>
  <c r="F46" i="7"/>
  <c r="F47" i="7"/>
  <c r="F49" i="7"/>
  <c r="F50" i="7"/>
  <c r="F51" i="7"/>
  <c r="F53" i="7"/>
  <c r="F54" i="7"/>
  <c r="F55" i="7"/>
  <c r="F56" i="7"/>
  <c r="F57" i="7"/>
  <c r="F58" i="7"/>
  <c r="F59" i="7"/>
  <c r="F60" i="7"/>
  <c r="F61" i="7"/>
  <c r="F62" i="7"/>
  <c r="F63" i="7"/>
  <c r="F65" i="7"/>
  <c r="F66" i="7"/>
  <c r="F67" i="7"/>
  <c r="F68" i="7"/>
  <c r="F69" i="7"/>
  <c r="F70" i="7"/>
  <c r="F73" i="7"/>
  <c r="F75" i="7"/>
  <c r="F79" i="7"/>
  <c r="F106" i="7"/>
  <c r="F107" i="7"/>
  <c r="F109" i="7"/>
  <c r="F110" i="7"/>
  <c r="F111" i="7"/>
  <c r="F112" i="7"/>
  <c r="F17" i="7"/>
  <c r="G110" i="17" l="1"/>
  <c r="G111" i="17"/>
  <c r="R48" i="10"/>
  <c r="S48" i="10" s="1"/>
  <c r="T48" i="10" s="1"/>
  <c r="Q47" i="10"/>
  <c r="Q48" i="10" s="1"/>
  <c r="E44" i="10"/>
  <c r="D39" i="10"/>
  <c r="Q35" i="10"/>
  <c r="O35" i="10"/>
  <c r="L35" i="10"/>
  <c r="L38" i="10" s="1"/>
  <c r="I35" i="10"/>
  <c r="D35" i="10"/>
  <c r="A35" i="10"/>
  <c r="P34" i="10"/>
  <c r="L40" i="10" s="1"/>
  <c r="H32" i="10"/>
  <c r="K30" i="10"/>
  <c r="F30" i="10"/>
  <c r="H30" i="10" s="1"/>
  <c r="H20" i="10" s="1"/>
  <c r="L29" i="10"/>
  <c r="H29" i="10"/>
  <c r="H27" i="10"/>
  <c r="L26" i="10"/>
  <c r="H26" i="10"/>
  <c r="H25" i="10"/>
  <c r="H24" i="10"/>
  <c r="M23" i="10"/>
  <c r="L23" i="10"/>
  <c r="H23" i="10"/>
  <c r="M22" i="10"/>
  <c r="M35" i="10" s="1"/>
  <c r="L39" i="10" s="1"/>
  <c r="H22" i="10"/>
  <c r="E20" i="10"/>
  <c r="E35" i="10" s="1"/>
  <c r="L18" i="10"/>
  <c r="H18" i="10"/>
  <c r="M17" i="10"/>
  <c r="H17" i="10"/>
  <c r="H16" i="10"/>
  <c r="L14" i="10"/>
  <c r="H14" i="10"/>
  <c r="L13" i="10"/>
  <c r="H13" i="10"/>
  <c r="H11" i="10"/>
  <c r="A9" i="10"/>
  <c r="E43" i="10" l="1"/>
  <c r="G15" i="17"/>
  <c r="G166" i="17" s="1"/>
  <c r="E46" i="10"/>
  <c r="K111" i="17"/>
  <c r="I111" i="17"/>
  <c r="O111" i="17" s="1"/>
  <c r="P111" i="17" s="1"/>
  <c r="K110" i="17"/>
  <c r="K15" i="17" s="1"/>
  <c r="K166" i="17" s="1"/>
  <c r="I110" i="17"/>
  <c r="L41" i="10"/>
  <c r="O40" i="10"/>
  <c r="O41" i="10" s="1"/>
  <c r="H35" i="10"/>
  <c r="H40" i="10" s="1"/>
  <c r="D38" i="10"/>
  <c r="D40" i="10" s="1"/>
  <c r="G169" i="17" l="1"/>
  <c r="G171" i="17" s="1"/>
  <c r="O110" i="17"/>
  <c r="O15" i="17" s="1"/>
  <c r="I15" i="17"/>
  <c r="L42" i="10"/>
  <c r="P110" i="17" l="1"/>
  <c r="P15" i="17" s="1"/>
  <c r="Q56" i="9"/>
  <c r="Q55" i="9"/>
  <c r="R57" i="9" s="1"/>
  <c r="S57" i="9" s="1"/>
  <c r="T57" i="9" s="1"/>
  <c r="E51" i="9"/>
  <c r="I48" i="9"/>
  <c r="P47" i="9"/>
  <c r="J47" i="9"/>
  <c r="F47" i="9"/>
  <c r="O41" i="9"/>
  <c r="O40" i="9"/>
  <c r="N40" i="9"/>
  <c r="O39" i="9"/>
  <c r="N39" i="9"/>
  <c r="N38" i="9"/>
  <c r="O38" i="9"/>
  <c r="O37" i="9"/>
  <c r="O47" i="9" s="1"/>
  <c r="N34" i="9"/>
  <c r="I34" i="9"/>
  <c r="I33" i="9"/>
  <c r="K33" i="9"/>
  <c r="N33" i="9" s="1"/>
  <c r="I32" i="9"/>
  <c r="N25" i="9"/>
  <c r="I23" i="9"/>
  <c r="I17" i="9" s="1"/>
  <c r="N11" i="9"/>
  <c r="M11" i="9"/>
  <c r="I11" i="9"/>
  <c r="H11" i="9"/>
  <c r="G11" i="9"/>
  <c r="M47" i="9" l="1"/>
  <c r="M50" i="9" s="1"/>
  <c r="P166" i="17"/>
  <c r="P169" i="17" s="1"/>
  <c r="Q172" i="17" s="1"/>
  <c r="Q173" i="17" s="1"/>
  <c r="E48" i="9"/>
  <c r="I47" i="9"/>
  <c r="K37" i="9"/>
  <c r="N37" i="9" s="1"/>
  <c r="N17" i="9" s="1"/>
  <c r="Q57" i="9"/>
  <c r="M4" i="17" l="1"/>
  <c r="N47" i="9"/>
  <c r="M51" i="9" s="1"/>
  <c r="N53" i="9" s="1"/>
  <c r="P52" i="9"/>
  <c r="E50" i="9"/>
  <c r="E52" i="9" s="1"/>
  <c r="P53" i="9" l="1"/>
  <c r="M52" i="9"/>
  <c r="N54" i="9"/>
  <c r="I75" i="7"/>
  <c r="K75" i="7" l="1"/>
  <c r="O75" i="7"/>
  <c r="Q75" i="7" s="1"/>
  <c r="J82" i="7"/>
  <c r="K82" i="7" l="1"/>
  <c r="N82" i="7"/>
  <c r="P82" i="7" l="1"/>
  <c r="O111" i="7" l="1"/>
  <c r="K111" i="7"/>
  <c r="O110" i="7"/>
  <c r="Q110" i="7" s="1"/>
  <c r="K110" i="7"/>
  <c r="K109" i="7" l="1"/>
  <c r="Q111" i="7"/>
  <c r="O109" i="7"/>
  <c r="Q109" i="7" s="1"/>
  <c r="K112" i="7"/>
  <c r="O112" i="7"/>
  <c r="Q112" i="7" s="1"/>
  <c r="K73" i="7"/>
  <c r="O107" i="7" l="1"/>
  <c r="I73" i="7"/>
  <c r="I21" i="7"/>
  <c r="O21" i="7" s="1"/>
  <c r="Q107" i="7" l="1"/>
  <c r="Q21" i="7"/>
  <c r="O73" i="7"/>
  <c r="K21" i="7"/>
  <c r="P73" i="7" l="1"/>
  <c r="K70" i="7" l="1"/>
  <c r="I70" i="7"/>
  <c r="K69" i="7"/>
  <c r="I69" i="7"/>
  <c r="O69" i="7" l="1"/>
  <c r="O70" i="7"/>
  <c r="K68" i="7"/>
  <c r="I68" i="7"/>
  <c r="K67" i="7"/>
  <c r="O68" i="7" l="1"/>
  <c r="Q68" i="7" s="1"/>
  <c r="P70" i="7"/>
  <c r="P69" i="7"/>
  <c r="I67" i="7"/>
  <c r="K66" i="7"/>
  <c r="I66" i="7"/>
  <c r="K65" i="7"/>
  <c r="I65" i="7"/>
  <c r="K63" i="7"/>
  <c r="I63" i="7"/>
  <c r="O65" i="7" l="1"/>
  <c r="O63" i="7"/>
  <c r="O66" i="7"/>
  <c r="O67" i="7"/>
  <c r="Q67" i="7" s="1"/>
  <c r="P65" i="7" l="1"/>
  <c r="P66" i="7"/>
  <c r="P63" i="7"/>
  <c r="O106" i="7"/>
  <c r="P106" i="7" l="1"/>
  <c r="K99" i="7" l="1"/>
  <c r="I35" i="7" l="1"/>
  <c r="I59" i="7"/>
  <c r="I49" i="7" l="1"/>
  <c r="I38" i="7"/>
  <c r="I61" i="7"/>
  <c r="I56" i="7"/>
  <c r="O61" i="7" l="1"/>
  <c r="Q61" i="7" s="1"/>
  <c r="K61" i="7"/>
  <c r="K62" i="7"/>
  <c r="I62" i="7"/>
  <c r="I60" i="7"/>
  <c r="O60" i="7" l="1"/>
  <c r="Q60" i="7" s="1"/>
  <c r="O62" i="7"/>
  <c r="Q62" i="7" s="1"/>
  <c r="K60" i="7"/>
  <c r="I24" i="7"/>
  <c r="I17" i="7" l="1"/>
  <c r="I18" i="7" l="1"/>
  <c r="O17" i="7"/>
  <c r="K59" i="7"/>
  <c r="O59" i="7"/>
  <c r="Q59" i="7" s="1"/>
  <c r="I27" i="7"/>
  <c r="I47" i="7"/>
  <c r="I46" i="7" l="1"/>
  <c r="K46" i="7"/>
  <c r="I90" i="7" l="1"/>
  <c r="I89" i="7" l="1"/>
  <c r="A31" i="5" l="1"/>
  <c r="A37" i="4"/>
  <c r="K80" i="7" l="1"/>
  <c r="N99" i="7"/>
  <c r="I34" i="7"/>
  <c r="I91" i="7"/>
  <c r="O35" i="7"/>
  <c r="P35" i="7" s="1"/>
  <c r="K35" i="7"/>
  <c r="N55" i="7" l="1"/>
  <c r="K55" i="7" l="1"/>
  <c r="O55" i="7"/>
  <c r="Q55" i="7" s="1"/>
  <c r="K23" i="7"/>
  <c r="I58" i="7"/>
  <c r="K37" i="7" l="1"/>
  <c r="I37" i="7"/>
  <c r="O37" i="7" s="1"/>
  <c r="Q37" i="7" s="1"/>
  <c r="K51" i="7"/>
  <c r="I51" i="7"/>
  <c r="O23" i="7"/>
  <c r="N23" i="7"/>
  <c r="O58" i="7"/>
  <c r="O38" i="7"/>
  <c r="K34" i="7"/>
  <c r="I54" i="7"/>
  <c r="I26" i="7"/>
  <c r="I25" i="7"/>
  <c r="O56" i="7"/>
  <c r="Q56" i="7" s="1"/>
  <c r="K56" i="7"/>
  <c r="O51" i="7" l="1"/>
  <c r="O54" i="7"/>
  <c r="Q54" i="7" s="1"/>
  <c r="Q23" i="7"/>
  <c r="N30" i="7"/>
  <c r="N22" i="7"/>
  <c r="N32" i="7"/>
  <c r="I32" i="7"/>
  <c r="K57" i="7"/>
  <c r="I57" i="7"/>
  <c r="O26" i="7"/>
  <c r="Q26" i="7" s="1"/>
  <c r="O25" i="7"/>
  <c r="Q25" i="7" s="1"/>
  <c r="O57" i="7" l="1"/>
  <c r="P51" i="7"/>
  <c r="O30" i="7"/>
  <c r="Q30" i="7" s="1"/>
  <c r="K30" i="7"/>
  <c r="O32" i="7"/>
  <c r="K32" i="7"/>
  <c r="O22" i="7"/>
  <c r="Q22" i="7" s="1"/>
  <c r="K22" i="7"/>
  <c r="P32" i="7"/>
  <c r="E36" i="6"/>
  <c r="O36" i="6" s="1"/>
  <c r="N21" i="6"/>
  <c r="L21" i="6"/>
  <c r="E21" i="6"/>
  <c r="I21" i="6" s="1"/>
  <c r="P57" i="7" l="1"/>
  <c r="K36" i="6"/>
  <c r="N36" i="6" s="1"/>
  <c r="N17" i="6" s="1"/>
  <c r="E42" i="6" l="1"/>
  <c r="D35" i="5"/>
  <c r="D41" i="4"/>
  <c r="G121" i="7"/>
  <c r="M31" i="5" l="1"/>
  <c r="H31" i="5"/>
  <c r="D31" i="5" l="1"/>
  <c r="P35" i="4"/>
  <c r="A9" i="4" l="1"/>
  <c r="L51" i="3"/>
  <c r="O104" i="7"/>
  <c r="Q104" i="7" s="1"/>
  <c r="K104" i="7"/>
  <c r="P99" i="7" l="1"/>
  <c r="K20" i="7"/>
  <c r="I20" i="7"/>
  <c r="O20" i="7" s="1"/>
  <c r="Q20" i="7" s="1"/>
  <c r="O34" i="7"/>
  <c r="I19" i="7" l="1"/>
  <c r="K29" i="7"/>
  <c r="I29" i="7"/>
  <c r="O29" i="7" s="1"/>
  <c r="K50" i="7"/>
  <c r="I50" i="7"/>
  <c r="O50" i="7" s="1"/>
  <c r="O24" i="7"/>
  <c r="O27" i="7"/>
  <c r="Q27" i="7" l="1"/>
  <c r="O19" i="7"/>
  <c r="N98" i="7"/>
  <c r="Q98" i="7" s="1"/>
  <c r="O89" i="7"/>
  <c r="K89" i="7"/>
  <c r="G15" i="7"/>
  <c r="O90" i="7"/>
  <c r="O91" i="7"/>
  <c r="K98" i="7" l="1"/>
  <c r="P89" i="7"/>
  <c r="N93" i="7"/>
  <c r="K17" i="7"/>
  <c r="J15" i="7"/>
  <c r="O18" i="7"/>
  <c r="K18" i="7"/>
  <c r="O93" i="7" l="1"/>
  <c r="K93" i="7"/>
  <c r="K36" i="7"/>
  <c r="I36" i="7"/>
  <c r="O36" i="7" s="1"/>
  <c r="Q18" i="7"/>
  <c r="P93" i="7" l="1"/>
  <c r="O53" i="7"/>
  <c r="K53" i="7"/>
  <c r="Q17" i="7"/>
  <c r="N53" i="7"/>
  <c r="N15" i="7" s="1"/>
  <c r="K49" i="7"/>
  <c r="K47" i="7"/>
  <c r="I45" i="7"/>
  <c r="I28" i="7" l="1"/>
  <c r="Q53" i="7"/>
  <c r="K39" i="7"/>
  <c r="I39" i="7"/>
  <c r="K40" i="7"/>
  <c r="I40" i="7"/>
  <c r="K42" i="7"/>
  <c r="I42" i="7"/>
  <c r="K28" i="7"/>
  <c r="O45" i="7"/>
  <c r="P45" i="7" s="1"/>
  <c r="O46" i="7"/>
  <c r="O40" i="7" l="1"/>
  <c r="Q40" i="7" s="1"/>
  <c r="O39" i="7"/>
  <c r="O49" i="7"/>
  <c r="P49" i="7" s="1"/>
  <c r="O42" i="7"/>
  <c r="O47" i="7"/>
  <c r="O28" i="7"/>
  <c r="E17" i="6"/>
  <c r="P28" i="7" l="1"/>
  <c r="Q39" i="7"/>
  <c r="P42" i="7"/>
  <c r="D9" i="3"/>
  <c r="D45" i="3" s="1"/>
  <c r="P104" i="7" l="1"/>
  <c r="P98" i="7"/>
  <c r="K91" i="7"/>
  <c r="P91" i="7" s="1"/>
  <c r="K90" i="7"/>
  <c r="Q58" i="7"/>
  <c r="K58" i="7"/>
  <c r="P50" i="7"/>
  <c r="P47" i="7"/>
  <c r="P46" i="7"/>
  <c r="K45" i="7"/>
  <c r="Q38" i="7"/>
  <c r="Q36" i="7"/>
  <c r="Q34" i="7"/>
  <c r="P29" i="7"/>
  <c r="K27" i="7"/>
  <c r="K26" i="7"/>
  <c r="K25" i="7"/>
  <c r="K24" i="7"/>
  <c r="Q19" i="7"/>
  <c r="Q14" i="7"/>
  <c r="Q11" i="7" s="1"/>
  <c r="J14" i="7"/>
  <c r="K14" i="7" s="1"/>
  <c r="K13" i="7"/>
  <c r="P11" i="7"/>
  <c r="G11" i="7"/>
  <c r="P90" i="7" l="1"/>
  <c r="J11" i="7"/>
  <c r="K11" i="7" s="1"/>
  <c r="K19" i="7"/>
  <c r="P100" i="7"/>
  <c r="K54" i="7"/>
  <c r="K38" i="7"/>
  <c r="K15" i="7" l="1"/>
  <c r="Q24" i="7"/>
  <c r="Q15" i="7" s="1"/>
  <c r="Q117" i="7" l="1"/>
  <c r="P121" i="7" s="1"/>
  <c r="O50" i="3"/>
  <c r="D38" i="2" l="1"/>
  <c r="B99" i="2"/>
  <c r="D88" i="2"/>
  <c r="D87" i="2"/>
  <c r="E87" i="2" s="1"/>
  <c r="D86" i="2"/>
  <c r="E86" i="2" s="1"/>
  <c r="D85" i="2"/>
  <c r="E85" i="2" s="1"/>
  <c r="D84" i="2"/>
  <c r="D83" i="2"/>
  <c r="E83" i="2" s="1"/>
  <c r="D82" i="2"/>
  <c r="E82" i="2" s="1"/>
  <c r="D81" i="2"/>
  <c r="E81" i="2" s="1"/>
  <c r="D80" i="2"/>
  <c r="E80" i="2" s="1"/>
  <c r="D79" i="2"/>
  <c r="E79" i="2" s="1"/>
  <c r="D78" i="2"/>
  <c r="E78" i="2" s="1"/>
  <c r="D25" i="2"/>
  <c r="E25" i="2" s="1"/>
  <c r="D77" i="2"/>
  <c r="E77" i="2" s="1"/>
  <c r="D76" i="2"/>
  <c r="E76" i="2" s="1"/>
  <c r="D75" i="2"/>
  <c r="E75" i="2" s="1"/>
  <c r="D74" i="2"/>
  <c r="E74" i="2" s="1"/>
  <c r="D73" i="2"/>
  <c r="E73" i="2" s="1"/>
  <c r="D71" i="2"/>
  <c r="E71" i="2" s="1"/>
  <c r="D70" i="2"/>
  <c r="E70" i="2" s="1"/>
  <c r="D69" i="2"/>
  <c r="E69" i="2" s="1"/>
  <c r="D68" i="2"/>
  <c r="D65" i="2"/>
  <c r="E65" i="2" s="1"/>
  <c r="D63" i="2"/>
  <c r="E63" i="2" s="1"/>
  <c r="D62" i="2"/>
  <c r="D61" i="2"/>
  <c r="E61" i="2" s="1"/>
  <c r="D60" i="2"/>
  <c r="E60" i="2" s="1"/>
  <c r="D59" i="2"/>
  <c r="E59" i="2" s="1"/>
  <c r="D58" i="2"/>
  <c r="E58" i="2" s="1"/>
  <c r="D57" i="2"/>
  <c r="E57" i="2" s="1"/>
  <c r="D56" i="2"/>
  <c r="E56" i="2" s="1"/>
  <c r="D55" i="2"/>
  <c r="E55" i="2" s="1"/>
  <c r="D54" i="2"/>
  <c r="E54" i="2" s="1"/>
  <c r="D53" i="2"/>
  <c r="E53" i="2" s="1"/>
  <c r="D51" i="2"/>
  <c r="E51" i="2" s="1"/>
  <c r="D49" i="2"/>
  <c r="E49" i="2" s="1"/>
  <c r="D50" i="2"/>
  <c r="E50" i="2" s="1"/>
  <c r="D48" i="2"/>
  <c r="E48" i="2" s="1"/>
  <c r="D47" i="2"/>
  <c r="E47" i="2" s="1"/>
  <c r="D46" i="2"/>
  <c r="E46" i="2" s="1"/>
  <c r="D45" i="2"/>
  <c r="E45" i="2" s="1"/>
  <c r="D44" i="2"/>
  <c r="E44" i="2" s="1"/>
  <c r="D43" i="2"/>
  <c r="E43" i="2" s="1"/>
  <c r="D42" i="2"/>
  <c r="E42" i="2" s="1"/>
  <c r="D41" i="2"/>
  <c r="E41" i="2" s="1"/>
  <c r="D40" i="2"/>
  <c r="E40" i="2" s="1"/>
  <c r="D39" i="2"/>
  <c r="E39" i="2" s="1"/>
  <c r="D37" i="2"/>
  <c r="D35" i="2"/>
  <c r="E35" i="2" s="1"/>
  <c r="D34" i="2"/>
  <c r="E34" i="2" s="1"/>
  <c r="D33" i="2"/>
  <c r="E33" i="2" s="1"/>
  <c r="D32" i="2"/>
  <c r="E32" i="2" s="1"/>
  <c r="D31" i="2"/>
  <c r="E31" i="2" s="1"/>
  <c r="D30" i="2"/>
  <c r="D29" i="2"/>
  <c r="E29" i="2" s="1"/>
  <c r="D28" i="2"/>
  <c r="E28" i="2" s="1"/>
  <c r="D27" i="2"/>
  <c r="E27" i="2" s="1"/>
  <c r="D24" i="2"/>
  <c r="E24" i="2" s="1"/>
  <c r="D23" i="2"/>
  <c r="E23" i="2" s="1"/>
  <c r="D21" i="2"/>
  <c r="E21" i="2" s="1"/>
  <c r="D19" i="2"/>
  <c r="E19" i="2" s="1"/>
  <c r="D18" i="2"/>
  <c r="E18" i="2" s="1"/>
  <c r="D12" i="2"/>
  <c r="E12" i="2" s="1"/>
  <c r="D11" i="2"/>
  <c r="E11" i="2" s="1"/>
  <c r="D10" i="2"/>
  <c r="E10" i="2" s="1"/>
  <c r="D9" i="2"/>
  <c r="E9" i="2" s="1"/>
  <c r="D8" i="2"/>
  <c r="E8" i="2" s="1"/>
  <c r="D6" i="2"/>
  <c r="E6" i="2" s="1"/>
  <c r="D5" i="2"/>
  <c r="E5" i="2" s="1"/>
  <c r="D3" i="2"/>
  <c r="E3" i="2" s="1"/>
  <c r="E88" i="2"/>
  <c r="E84" i="2"/>
  <c r="D90" i="2"/>
  <c r="E68" i="2"/>
  <c r="E62" i="2"/>
  <c r="E37" i="2"/>
  <c r="E30" i="2"/>
  <c r="D15" i="2"/>
  <c r="E15" i="2" s="1"/>
  <c r="D16" i="2"/>
  <c r="E16" i="2" s="1"/>
  <c r="E38" i="2" l="1"/>
  <c r="Q47" i="6"/>
  <c r="Q46" i="6"/>
  <c r="R48" i="6" s="1"/>
  <c r="S48" i="6" s="1"/>
  <c r="T48" i="6" s="1"/>
  <c r="I39" i="6"/>
  <c r="P38" i="6"/>
  <c r="O38" i="6"/>
  <c r="P43" i="6" s="1"/>
  <c r="J38" i="6"/>
  <c r="F38" i="6"/>
  <c r="N33" i="6"/>
  <c r="I33" i="6"/>
  <c r="I32" i="6"/>
  <c r="E38" i="6"/>
  <c r="I31" i="6"/>
  <c r="I25" i="6"/>
  <c r="G22" i="6"/>
  <c r="G17" i="6" s="1"/>
  <c r="I19" i="6"/>
  <c r="N11" i="6"/>
  <c r="M11" i="6"/>
  <c r="I11" i="6"/>
  <c r="H11" i="6"/>
  <c r="G11" i="6"/>
  <c r="E11" i="6"/>
  <c r="Q42" i="5"/>
  <c r="Q43" i="5" s="1"/>
  <c r="Q31" i="5"/>
  <c r="O31" i="5"/>
  <c r="I31" i="5"/>
  <c r="E31" i="5"/>
  <c r="H30" i="5"/>
  <c r="L28" i="5"/>
  <c r="H28" i="5"/>
  <c r="L27" i="5"/>
  <c r="H27" i="5"/>
  <c r="H25" i="5"/>
  <c r="L24" i="5"/>
  <c r="H24" i="5"/>
  <c r="L23" i="5"/>
  <c r="H23" i="5"/>
  <c r="H22" i="5"/>
  <c r="H21" i="5"/>
  <c r="M20" i="5"/>
  <c r="H20" i="5"/>
  <c r="M19" i="5"/>
  <c r="H19" i="5"/>
  <c r="H17" i="5" s="1"/>
  <c r="E17" i="5"/>
  <c r="H15" i="5"/>
  <c r="L31" i="5"/>
  <c r="D34" i="5"/>
  <c r="S50" i="4"/>
  <c r="T50" i="4" s="1"/>
  <c r="R50" i="4"/>
  <c r="Q50" i="4"/>
  <c r="Q49" i="4"/>
  <c r="E46" i="4"/>
  <c r="Q37" i="4"/>
  <c r="O37" i="4"/>
  <c r="L37" i="4"/>
  <c r="L40" i="4" s="1"/>
  <c r="I37" i="4"/>
  <c r="D37" i="4"/>
  <c r="H32" i="4"/>
  <c r="F30" i="4"/>
  <c r="K30" i="4" s="1"/>
  <c r="L29" i="4"/>
  <c r="H29" i="4"/>
  <c r="H27" i="4"/>
  <c r="L26" i="4"/>
  <c r="H26" i="4"/>
  <c r="H25" i="4"/>
  <c r="H24" i="4"/>
  <c r="M23" i="4"/>
  <c r="L23" i="4"/>
  <c r="H23" i="4"/>
  <c r="M22" i="4"/>
  <c r="H22" i="4"/>
  <c r="E20" i="4"/>
  <c r="E37" i="4" s="1"/>
  <c r="L18" i="4"/>
  <c r="H18" i="4"/>
  <c r="M17" i="4"/>
  <c r="H17" i="4"/>
  <c r="H16" i="4"/>
  <c r="L14" i="4"/>
  <c r="H14" i="4"/>
  <c r="L13" i="4"/>
  <c r="H13" i="4"/>
  <c r="H30" i="4" l="1"/>
  <c r="E45" i="4"/>
  <c r="H11" i="4"/>
  <c r="E41" i="6"/>
  <c r="E43" i="6" s="1"/>
  <c r="E39" i="6"/>
  <c r="D36" i="5"/>
  <c r="M37" i="4"/>
  <c r="L41" i="4" s="1"/>
  <c r="E48" i="4"/>
  <c r="M38" i="6"/>
  <c r="M41" i="6" s="1"/>
  <c r="L34" i="5"/>
  <c r="I22" i="6"/>
  <c r="I17" i="6" s="1"/>
  <c r="I38" i="6" s="1"/>
  <c r="D40" i="4"/>
  <c r="D42" i="4" s="1"/>
  <c r="H20" i="4"/>
  <c r="H37" i="4" s="1"/>
  <c r="H42" i="4" s="1"/>
  <c r="N38" i="6"/>
  <c r="M42" i="6" s="1"/>
  <c r="Q48" i="6"/>
  <c r="H36" i="5"/>
  <c r="O42" i="4" l="1"/>
  <c r="O43" i="4" s="1"/>
  <c r="N44" i="6"/>
  <c r="N45" i="6" s="1"/>
  <c r="M43" i="6"/>
  <c r="L44" i="4"/>
  <c r="J13" i="3"/>
  <c r="L13" i="3"/>
  <c r="H14" i="3"/>
  <c r="L14" i="3"/>
  <c r="M17" i="3"/>
  <c r="H19" i="3"/>
  <c r="M22" i="3"/>
  <c r="E23" i="3"/>
  <c r="H25" i="3"/>
  <c r="D25" i="3" s="1"/>
  <c r="M25" i="3"/>
  <c r="H26" i="3"/>
  <c r="D26" i="3" s="1"/>
  <c r="M26" i="3"/>
  <c r="H27" i="3"/>
  <c r="D27" i="3" s="1"/>
  <c r="M27" i="3"/>
  <c r="D28" i="3"/>
  <c r="H28" i="3"/>
  <c r="M28" i="3"/>
  <c r="H29" i="3"/>
  <c r="L29" i="3"/>
  <c r="D29" i="3" s="1"/>
  <c r="D30" i="3"/>
  <c r="H30" i="3"/>
  <c r="L30" i="3"/>
  <c r="H31" i="3"/>
  <c r="K31" i="3"/>
  <c r="L31" i="3" s="1"/>
  <c r="Q31" i="3"/>
  <c r="Q45" i="3" s="1"/>
  <c r="Q50" i="3" s="1"/>
  <c r="D32" i="3"/>
  <c r="H32" i="3"/>
  <c r="L32" i="3"/>
  <c r="H34" i="3"/>
  <c r="D34" i="3" s="1"/>
  <c r="M34" i="3"/>
  <c r="H35" i="3"/>
  <c r="D35" i="3" s="1"/>
  <c r="M35" i="3"/>
  <c r="H36" i="3"/>
  <c r="D36" i="3" s="1"/>
  <c r="M36" i="3"/>
  <c r="D38" i="3"/>
  <c r="H38" i="3"/>
  <c r="L38" i="3"/>
  <c r="H41" i="3"/>
  <c r="D41" i="3" s="1"/>
  <c r="L41" i="3"/>
  <c r="H43" i="3"/>
  <c r="L43" i="3"/>
  <c r="H44" i="3"/>
  <c r="D44" i="3" s="1"/>
  <c r="L44" i="3"/>
  <c r="E45" i="3"/>
  <c r="I45" i="3"/>
  <c r="O45" i="3"/>
  <c r="D63" i="3"/>
  <c r="D49" i="3" l="1"/>
  <c r="D7" i="2"/>
  <c r="E7" i="2" s="1"/>
  <c r="D31" i="3"/>
  <c r="L45" i="3"/>
  <c r="L48" i="3" s="1"/>
  <c r="M45" i="3"/>
  <c r="L49" i="3" s="1"/>
  <c r="H11" i="3"/>
  <c r="O51" i="3"/>
  <c r="H23" i="3"/>
  <c r="H45" i="3" s="1"/>
  <c r="H50" i="3" s="1"/>
  <c r="D48" i="3" l="1"/>
  <c r="D50" i="3" s="1"/>
  <c r="D62" i="3"/>
  <c r="D64" i="3" s="1"/>
  <c r="D67" i="2" l="1"/>
  <c r="E67" i="2" s="1"/>
  <c r="D26" i="2" l="1"/>
  <c r="E26" i="2" s="1"/>
  <c r="D14" i="2"/>
  <c r="E14" i="2" s="1"/>
  <c r="D17" i="2"/>
  <c r="E17" i="2" s="1"/>
  <c r="D2" i="2"/>
  <c r="D66" i="2"/>
  <c r="E66" i="2" s="1"/>
  <c r="D22" i="2"/>
  <c r="E22" i="2" s="1"/>
  <c r="D36" i="2"/>
  <c r="E36" i="2" s="1"/>
  <c r="D52" i="2"/>
  <c r="E52" i="2" s="1"/>
  <c r="D64" i="2"/>
  <c r="E64" i="2" s="1"/>
  <c r="D72" i="2"/>
  <c r="E72" i="2" s="1"/>
  <c r="D4" i="2"/>
  <c r="E4" i="2" s="1"/>
  <c r="D20" i="2"/>
  <c r="E20" i="2" s="1"/>
  <c r="E2" i="2" l="1"/>
  <c r="D99" i="2"/>
  <c r="D92" i="2"/>
  <c r="E90" i="2" l="1"/>
  <c r="E92" i="2" s="1"/>
  <c r="D91" i="2" l="1"/>
  <c r="D93" i="2" s="1"/>
  <c r="G117" i="7" l="1"/>
  <c r="G118" i="7" s="1"/>
  <c r="K117" i="7"/>
  <c r="G120" i="7" l="1"/>
  <c r="G122" i="7" s="1"/>
  <c r="I15" i="7"/>
  <c r="P33" i="7" l="1"/>
  <c r="O15" i="7"/>
  <c r="P15" i="7" l="1"/>
  <c r="P117" i="7" s="1"/>
  <c r="P120" i="7" s="1"/>
  <c r="Q123" i="7" l="1"/>
  <c r="Q124" i="7" s="1"/>
  <c r="D32" i="5"/>
  <c r="M4" i="7" l="1"/>
  <c r="S171" i="17" l="1"/>
  <c r="S173" i="17" l="1"/>
  <c r="D38" i="4" l="1"/>
  <c r="G167" i="17" l="1"/>
</calcChain>
</file>

<file path=xl/comments1.xml><?xml version="1.0" encoding="utf-8"?>
<comments xmlns="http://schemas.openxmlformats.org/spreadsheetml/2006/main">
  <authors>
    <author>Valene G. Miñoza</author>
  </authors>
  <commentList>
    <comment ref="C34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
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</t>
        </r>
      </text>
    </comment>
  </commentList>
</comments>
</file>

<file path=xl/comments2.xml><?xml version="1.0" encoding="utf-8"?>
<comments xmlns="http://schemas.openxmlformats.org/spreadsheetml/2006/main">
  <authors>
    <author>Valene G. Miñoza</author>
  </authors>
  <commentList>
    <comment ref="C32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
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</t>
        </r>
      </text>
    </comment>
  </commentList>
</comments>
</file>

<file path=xl/comments3.xml><?xml version="1.0" encoding="utf-8"?>
<comments xmlns="http://schemas.openxmlformats.org/spreadsheetml/2006/main">
  <authors>
    <author>Asus</author>
  </authors>
  <commentList>
    <comment ref="F31" authorId="0" shapeId="0">
      <text>
        <r>
          <rPr>
            <b/>
            <sz val="9"/>
            <rFont val="Times New Roman"/>
            <family val="1"/>
          </rPr>
          <t>Asus:</t>
        </r>
        <r>
          <rPr>
            <sz val="9"/>
            <rFont val="Times New Roman"/>
            <family val="1"/>
          </rPr>
          <t xml:space="preserve">
Carrying amount as of Dec 2021</t>
        </r>
      </text>
    </comment>
  </commentList>
</comments>
</file>

<file path=xl/sharedStrings.xml><?xml version="1.0" encoding="utf-8"?>
<sst xmlns="http://schemas.openxmlformats.org/spreadsheetml/2006/main" count="1526" uniqueCount="427">
  <si>
    <r>
      <t>Field Office____</t>
    </r>
    <r>
      <rPr>
        <b/>
        <u/>
        <sz val="12"/>
        <color theme="1"/>
        <rFont val="Arial"/>
        <family val="2"/>
      </rPr>
      <t>10</t>
    </r>
    <r>
      <rPr>
        <b/>
        <sz val="12"/>
        <color theme="1"/>
        <rFont val="Arial"/>
        <family val="2"/>
      </rPr>
      <t>__</t>
    </r>
  </si>
  <si>
    <t>Breakdown of Accumulated Surplus/(Deficit)</t>
  </si>
  <si>
    <t>Fund Cluster 1</t>
  </si>
  <si>
    <t>Particulars</t>
  </si>
  <si>
    <t>Amount</t>
  </si>
  <si>
    <t>AFFECTED ACCOUNTS</t>
  </si>
  <si>
    <t>CY 2020 and Prior Years Adjustments affecting ASD Beg. Bal.</t>
  </si>
  <si>
    <t>INCOME STATEMENT</t>
  </si>
  <si>
    <t>BALANCE SHEET</t>
  </si>
  <si>
    <t>Account</t>
  </si>
  <si>
    <t>Debit</t>
  </si>
  <si>
    <t>Credit</t>
  </si>
  <si>
    <t>Net Effect</t>
  </si>
  <si>
    <t>Net Effect on Assets</t>
  </si>
  <si>
    <t>Net Effect on Liabilities</t>
  </si>
  <si>
    <t>Accumulated Surplus/(Deficit), Beginning Balance 1/1/2022</t>
  </si>
  <si>
    <t>INCOME of prior years</t>
  </si>
  <si>
    <t>Under-recording/understatement of income of prior years:</t>
  </si>
  <si>
    <t>unrecorded liquidated damages</t>
  </si>
  <si>
    <t>Miscellaneous income</t>
  </si>
  <si>
    <t>Due to Pag-ibig</t>
  </si>
  <si>
    <t xml:space="preserve"> Adjustment on LGU liquidation of prior years</t>
  </si>
  <si>
    <t>Due from LGU</t>
  </si>
  <si>
    <t>EXPENSES of prior years</t>
  </si>
  <si>
    <t>Under-recording/understatement of expenses of prior years:</t>
  </si>
  <si>
    <t>Accounts payable</t>
  </si>
  <si>
    <t>Salaries and Wages - Casual and Contracutal</t>
  </si>
  <si>
    <t>Retirement and Life Insurance Premiums</t>
  </si>
  <si>
    <t>Traveling Expense-Local</t>
  </si>
  <si>
    <t>Training Expenses</t>
  </si>
  <si>
    <t>Office Supplies Expenses</t>
  </si>
  <si>
    <t>Food Supplies Expenses</t>
  </si>
  <si>
    <t>Food Supplies Inventory</t>
  </si>
  <si>
    <t xml:space="preserve">Other Supplies and Materials Expenses </t>
  </si>
  <si>
    <t>Subsidies - Others</t>
  </si>
  <si>
    <t xml:space="preserve">Other Supplies and Materials for Distribution </t>
  </si>
  <si>
    <t>Welfare Goods for Distribution</t>
  </si>
  <si>
    <t>Fuel, Oil and Lubricants Expenses</t>
  </si>
  <si>
    <t>Performance Based Bonus (Civilian)</t>
  </si>
  <si>
    <t>Water Expenses</t>
  </si>
  <si>
    <t>Electricity Expenses</t>
  </si>
  <si>
    <t>Insurance Expenses</t>
  </si>
  <si>
    <t>Internet Subscription Expenses</t>
  </si>
  <si>
    <t>Representation Expenses</t>
  </si>
  <si>
    <t>Drugs and Medicines Expenses</t>
  </si>
  <si>
    <t>Rent/Lease Expenses - Equipment</t>
  </si>
  <si>
    <t>Semi-Expendable Office Equipment Expenses</t>
  </si>
  <si>
    <t>Semi-Expendable Office Equipment</t>
  </si>
  <si>
    <t>Semi-Expendable Medical Equipment Expenses</t>
  </si>
  <si>
    <t>Semi-Expendable Machinery and Equipment Expenses - ICT Equipment</t>
  </si>
  <si>
    <t>Semi-Expendable Machinery and Equipment Expenses - ICT Equipment Expenses</t>
  </si>
  <si>
    <t>Semi-Expendable Technical and Scientific equipment Expenses</t>
  </si>
  <si>
    <t>Security Services</t>
  </si>
  <si>
    <t>Other Professional Services</t>
  </si>
  <si>
    <t>Under Recording of Repairs and Maintenance- Other Machinery &amp; Equipment</t>
  </si>
  <si>
    <t>Semi-Expendable Machinery &amp; Equipment Expenses</t>
  </si>
  <si>
    <t>Repairs and Maintenance - Building and Other Structures - Buildings</t>
  </si>
  <si>
    <t>Repairs and Maintenance - Transportation Equipment - Motor Vehicles</t>
  </si>
  <si>
    <t>Labor and Wages</t>
  </si>
  <si>
    <t>Other Maintenance and Operating Expenses</t>
  </si>
  <si>
    <t>Semi-Expendable Furnitures and Fixtures Expenses</t>
  </si>
  <si>
    <t>Semi-Expendable Semi-Expendable Communication Equipment Expenses</t>
  </si>
  <si>
    <t>Printing and Publication Expenses</t>
  </si>
  <si>
    <t>Depreciation - Sports Equipment</t>
  </si>
  <si>
    <t>Depreciation - Communication Equipment</t>
  </si>
  <si>
    <t>Depreciation - Vehicles</t>
  </si>
  <si>
    <t>Depreciation - Books</t>
  </si>
  <si>
    <t>Depreciation - Furnitures and Fixture</t>
  </si>
  <si>
    <t>Depreciation - Computer Software</t>
  </si>
  <si>
    <t>Depreciation - Office Equipment</t>
  </si>
  <si>
    <t>Depreciation - ICT Equipment</t>
  </si>
  <si>
    <t>Over-recording/overstatement of expenses of prior years:</t>
  </si>
  <si>
    <t>over-recorded other professional services</t>
  </si>
  <si>
    <t>over-recording of Other Maintenance and Operating Expenses</t>
  </si>
  <si>
    <t>Other MOOE</t>
  </si>
  <si>
    <t>over-recording of salaries and wages - contractual in accounts payable</t>
  </si>
  <si>
    <t>over-recording of Other Supplies Expenses in accounts payable</t>
  </si>
  <si>
    <t xml:space="preserve">over-recording of Rent/Lease Expenses - Equipment </t>
  </si>
  <si>
    <t>over-recorded travelling expenses in accounts payable</t>
  </si>
  <si>
    <t>over-recorded telephone expenses</t>
  </si>
  <si>
    <t>Telephone Expenses-Mobile</t>
  </si>
  <si>
    <t xml:space="preserve">over-recorded subsidies </t>
  </si>
  <si>
    <t>over-recording  of repairs-Other Machinery &amp; Equipment in accounts payable</t>
  </si>
  <si>
    <t>over-recording  of Semi Expendable Office Expenses</t>
  </si>
  <si>
    <t>Over-recording of Depreciation Expense - Communication Equipment</t>
  </si>
  <si>
    <t>Over-recording of Depreciation Expense - Leased Asset, Machinery and Equipment</t>
  </si>
  <si>
    <t>Accumulated Depreciation Lease Assets, Machinery &amp; Equipment</t>
  </si>
  <si>
    <t>Liquidation of Prior Year's Cash advances and Fund Transfer:</t>
  </si>
  <si>
    <t>liquidation of LGUs</t>
  </si>
  <si>
    <t>Due from LGUs</t>
  </si>
  <si>
    <t>liquidation of advances to SDOs</t>
  </si>
  <si>
    <t>Advances to SDOs</t>
  </si>
  <si>
    <t>liquidation of PCF</t>
  </si>
  <si>
    <t>Petty Cash Fund</t>
  </si>
  <si>
    <t>liquidation of Advances for Payroll</t>
  </si>
  <si>
    <t>Advances for Payroll</t>
  </si>
  <si>
    <t>Liquidation of NGOs/POs of prior years fund transfer</t>
  </si>
  <si>
    <t>Due from NGOs/Pos</t>
  </si>
  <si>
    <t xml:space="preserve">Liquidation of welfare goods </t>
  </si>
  <si>
    <t>Liquidation of NGAs</t>
  </si>
  <si>
    <t>Due from NGAs</t>
  </si>
  <si>
    <t>Other Adjustments:</t>
  </si>
  <si>
    <t>Unrecorded Subsidy to Regional Offices/Staff Bureaus</t>
  </si>
  <si>
    <t>Unrecorded Financial Assistance to NGAs</t>
  </si>
  <si>
    <t>Unrecorded Subsidy from CO</t>
  </si>
  <si>
    <t>Semi-Expendable Information and Communications Tech. Equipment</t>
  </si>
  <si>
    <t>Motor Vehicles</t>
  </si>
  <si>
    <t>Unrecorded Sports Equipment</t>
  </si>
  <si>
    <t>Returned fund from LGUs</t>
  </si>
  <si>
    <t>Erroneous entry on Subsidies Others</t>
  </si>
  <si>
    <t>Reclassification from PPE to SE - Communication Equipment</t>
  </si>
  <si>
    <t>Reclassification from PPE to SE - Other Structure</t>
  </si>
  <si>
    <t>Reclassification from PPE to SE - Technical &amp; scientific</t>
  </si>
  <si>
    <t>Reclassification from PPE to SE - Other Machinery &amp; Equipement</t>
  </si>
  <si>
    <t>Accounts Payable</t>
  </si>
  <si>
    <t>Erroneous entry on Welfare Goods for Distribution</t>
  </si>
  <si>
    <t>Adjustment to PYA accounts:</t>
  </si>
  <si>
    <t>Adjustment to Fin. Performance CY 2022:</t>
  </si>
  <si>
    <t>Adjustment to Fin. Position CY 2022:</t>
  </si>
  <si>
    <t>Adjustment to ASD Beg. Bal.</t>
  </si>
  <si>
    <t>Ending ASD</t>
  </si>
  <si>
    <t>Asset</t>
  </si>
  <si>
    <t>Beginning ASD</t>
  </si>
  <si>
    <t>Liabilities</t>
  </si>
  <si>
    <t>Prior Years Adjustment</t>
  </si>
  <si>
    <t>Income less Expenses</t>
  </si>
  <si>
    <t>ASD</t>
  </si>
  <si>
    <t>Net Assets</t>
  </si>
  <si>
    <t>july</t>
  </si>
  <si>
    <t>aug</t>
  </si>
  <si>
    <t>Prepared by:</t>
  </si>
  <si>
    <t>Certified correct:</t>
  </si>
  <si>
    <t>HANILYN T. CIMAFRANCA, CPA</t>
  </si>
  <si>
    <t>Administrative Officer II</t>
  </si>
  <si>
    <t>Regional Accountant</t>
  </si>
  <si>
    <t>Adjustements:</t>
  </si>
  <si>
    <t xml:space="preserve">Overbooking of liquidation of NGOs/POs of prior year fund transfer </t>
  </si>
  <si>
    <t>Liquidation of LGUs of prior years fund transfer</t>
  </si>
  <si>
    <t>Remittance of unremitted withheld taxes of Prior Years</t>
  </si>
  <si>
    <t>unrecorded training expense</t>
  </si>
  <si>
    <t>underrecorded advertising expenses</t>
  </si>
  <si>
    <t>underrecorded other professional services</t>
  </si>
  <si>
    <t>underrecorded representation expenses</t>
  </si>
  <si>
    <t>unrecorded semi-expendable ICT expense</t>
  </si>
  <si>
    <t>unrecorded depreciation expenses- Office Equipment</t>
  </si>
  <si>
    <t>reclassification of PPE to Semi-Expendable</t>
  </si>
  <si>
    <t>unrecorded semi-expendable furniture &amp; fixtures expense</t>
  </si>
  <si>
    <t>over-recording of training expenses</t>
  </si>
  <si>
    <t>Due to PHIC</t>
  </si>
  <si>
    <t>Other Payable</t>
  </si>
  <si>
    <t>over-recording of depreciation expense</t>
  </si>
  <si>
    <t>unrecorded interest income and deposit to BTr on bank deposits</t>
  </si>
  <si>
    <t xml:space="preserve">         Training Expenses</t>
  </si>
  <si>
    <t>overbooking liquidation of advances to SDOs in AP Account</t>
  </si>
  <si>
    <t>Overbooking Liquidations to Central Office - CCL</t>
  </si>
  <si>
    <t>Financial Analyst III (SOE)</t>
  </si>
  <si>
    <t>Name</t>
  </si>
  <si>
    <t>DAHLIA T. DIMAOCOR</t>
  </si>
  <si>
    <t>Reviewed by:</t>
  </si>
  <si>
    <t>Adjustment to ASD beg. Bal.</t>
  </si>
  <si>
    <t>Adjustment to Fin. Position CY 2021:</t>
  </si>
  <si>
    <t>Adjustment to Fin. Performance CY 2021:</t>
  </si>
  <si>
    <t>Note: sample entries</t>
  </si>
  <si>
    <t>Balance as of December 31, 2022</t>
  </si>
  <si>
    <t>Due from NGOs/POs</t>
  </si>
  <si>
    <t xml:space="preserve">Underbooking of liquidation of LGUs of prior year fund transfer </t>
  </si>
  <si>
    <t>Liquidation of SDOs</t>
  </si>
  <si>
    <t>Accum. Dep.- ICT</t>
  </si>
  <si>
    <t>Error recording expense should be inventory</t>
  </si>
  <si>
    <t>Semi- Expendable- Furniture &amp; Fixtures</t>
  </si>
  <si>
    <t>Property, Plant &amp; Equipment</t>
  </si>
  <si>
    <t>Accum. Dep. - Office Equipment</t>
  </si>
  <si>
    <t>Semi- Expendable- ICT</t>
  </si>
  <si>
    <t>Advertising Expenses</t>
  </si>
  <si>
    <t>Due to BIR</t>
  </si>
  <si>
    <t>Return of Unutilized Funds of Prior Years</t>
  </si>
  <si>
    <t>Other Adjustments</t>
  </si>
  <si>
    <t>unrecorded adjustment for the remittance of interest income</t>
  </si>
  <si>
    <t>error (overstatement) in recording donations</t>
  </si>
  <si>
    <t>staled check of prior year (MDS) with intention to replace</t>
  </si>
  <si>
    <t>Over-recording/overstatement of income of prior years:</t>
  </si>
  <si>
    <t>specify</t>
  </si>
  <si>
    <t>unrecorded community refunds</t>
  </si>
  <si>
    <t>Others
(Closing of Cash, Treasury/ Agency Deposit, Regular and Transfer of PPE</t>
  </si>
  <si>
    <t>Fund Cluster 102 (Consolidated)</t>
  </si>
  <si>
    <t>As at December 31, 2022</t>
  </si>
  <si>
    <r>
      <rPr>
        <b/>
        <sz val="12"/>
        <color theme="1"/>
        <rFont val="Arial"/>
        <family val="2"/>
      </rPr>
      <t xml:space="preserve">Field Office No. </t>
    </r>
    <r>
      <rPr>
        <b/>
        <u/>
        <sz val="12"/>
        <color theme="1"/>
        <rFont val="Arial"/>
        <family val="2"/>
      </rPr>
      <t>X</t>
    </r>
  </si>
  <si>
    <t>Fund Cluster 4</t>
  </si>
  <si>
    <t>Interest income</t>
  </si>
  <si>
    <t>Cash, LCCA</t>
  </si>
  <si>
    <t xml:space="preserve">unrecorded donations </t>
  </si>
  <si>
    <t>Income from Grants</t>
  </si>
  <si>
    <t>Subsidy from NG</t>
  </si>
  <si>
    <t>unrecorded travelling expenses</t>
  </si>
  <si>
    <t>Travelling</t>
  </si>
  <si>
    <t>Remittance to BTr</t>
  </si>
  <si>
    <t>Other Payables</t>
  </si>
  <si>
    <t>supplies expense</t>
  </si>
  <si>
    <t>Supplies Inventory</t>
  </si>
  <si>
    <t>Subsidies</t>
  </si>
  <si>
    <t>Liquidation of LGUs</t>
  </si>
  <si>
    <t xml:space="preserve">as of 3rd </t>
  </si>
  <si>
    <t xml:space="preserve">total 3rd </t>
  </si>
  <si>
    <t>Fund Cluster 6</t>
  </si>
  <si>
    <t>unrecorded Service Charge</t>
  </si>
  <si>
    <t>Service Charge</t>
  </si>
  <si>
    <t>close remittance to BTr</t>
  </si>
  <si>
    <t>BTr</t>
  </si>
  <si>
    <t>Error recording Service Charge</t>
  </si>
  <si>
    <t>receipt of rollback from SLPAs</t>
  </si>
  <si>
    <t>Field Office X</t>
  </si>
  <si>
    <t>Fund Cluster 7</t>
  </si>
  <si>
    <t>CY 2021. and Prior Years Adjustments affecting ASD Beg. Bal.</t>
  </si>
  <si>
    <t>Unrecorded liquidated damages</t>
  </si>
  <si>
    <t>Other Receivables</t>
  </si>
  <si>
    <t xml:space="preserve"> Unrecorded scrap sale</t>
  </si>
  <si>
    <t>Overrecorded liquidated damages</t>
  </si>
  <si>
    <t>Over recording of Other MOOE</t>
  </si>
  <si>
    <t xml:space="preserve">Other MOOE </t>
  </si>
  <si>
    <t>Cash in Bank-Local Currency, Current Account - DBP</t>
  </si>
  <si>
    <t xml:space="preserve">Cash, Agency Deposits, Trust </t>
  </si>
  <si>
    <t>for restatement AS ang bangga and then ang naa sa BS</t>
  </si>
  <si>
    <t>Due to Centra Office</t>
  </si>
  <si>
    <t xml:space="preserve">  Depreciation-Building</t>
  </si>
  <si>
    <t>Depreciation-Building</t>
  </si>
  <si>
    <t>Accumulated Depreciation-Building</t>
  </si>
  <si>
    <t>Liquidation of Prior Year's Receipt of Trust Funds:</t>
  </si>
  <si>
    <t>liquidations to Central Office - Kapatiran</t>
  </si>
  <si>
    <t>Due to CO</t>
  </si>
  <si>
    <t>Liquidations to Central Office - CCL</t>
  </si>
  <si>
    <t>liquidation of advances to SDO</t>
  </si>
  <si>
    <t>sept</t>
  </si>
  <si>
    <t xml:space="preserve">2nd quarter </t>
  </si>
  <si>
    <t>JADE V. LUSTRE, CPA</t>
  </si>
  <si>
    <t>Accumulated Surplus/(Deficit), Beginning Balance 1/1/2023</t>
  </si>
  <si>
    <t>Balance as of March 31, 2023</t>
  </si>
  <si>
    <t>Due to Philhealth</t>
  </si>
  <si>
    <t>Account Code</t>
  </si>
  <si>
    <t>ICT Office Supplies Expenses</t>
  </si>
  <si>
    <t>Postage and Courier Services</t>
  </si>
  <si>
    <t>Subsidy from Regional Office/Staff Bureau</t>
  </si>
  <si>
    <t>CY 2021 and Prior Years Adjustments affecting ASD Beg. Bal.</t>
  </si>
  <si>
    <t>Closing of FC 4  to FC1</t>
  </si>
  <si>
    <t>UACS Code</t>
  </si>
  <si>
    <t>Overstatement on COS</t>
  </si>
  <si>
    <t>Erroneous entry on accounts payable</t>
  </si>
  <si>
    <t>Cash, LCCA - LBP</t>
  </si>
  <si>
    <t>Adjustment:</t>
  </si>
  <si>
    <t>Unrecorded PhilHealth Remittance</t>
  </si>
  <si>
    <t>Janitorial Services</t>
  </si>
  <si>
    <t>Semi-Expendable Machinery and Equipment Expenses - Office Equipment</t>
  </si>
  <si>
    <t>Prizes</t>
  </si>
  <si>
    <t>over-recorded liquidation for welfare goods held for distribution</t>
  </si>
  <si>
    <t>As of June 30, 2023</t>
  </si>
  <si>
    <t>Remittance to Bureau of Treasury</t>
  </si>
  <si>
    <t>VALENE G. MIÑOZA</t>
  </si>
  <si>
    <t>Welfare Goods Expenses</t>
  </si>
  <si>
    <t>This is a wrong entry on Check ADA DJ, this should have been Welfare Goods for Distribution c/o Kyra on recon if this has already been taken up for adjustment update: For JEV on June 2023 by Kyra</t>
  </si>
  <si>
    <t>Rent/Lease Expenses - Motor Vehicles</t>
  </si>
  <si>
    <t xml:space="preserve">Miscellaneous Income </t>
  </si>
  <si>
    <t>Medical,Dental &amp; Laboratory Supplies Expenses</t>
  </si>
  <si>
    <t xml:space="preserve">Medical, Dental and Laboratory Supplies Inventory </t>
  </si>
  <si>
    <t>Semi-expendable Furniture and Fixtures Expenses</t>
  </si>
  <si>
    <t>Semi-Expendable Furniture and Fixtures</t>
  </si>
  <si>
    <t>Semi-Expendable - Other Machinery and Equipment Expenses</t>
  </si>
  <si>
    <t>Semi-Expendable Other Machinery and Equipment</t>
  </si>
  <si>
    <t>Semi-expendable Machinery and Equipment Expenses - Communications Equipment</t>
  </si>
  <si>
    <t xml:space="preserve">Semi-Expendable Communication Equipment </t>
  </si>
  <si>
    <t>Rent/Lease Expenses - Buildings and Structures</t>
  </si>
  <si>
    <t>Semi-expendable Machinery and Equipment Expenses - Machinery</t>
  </si>
  <si>
    <t>Semi-Expendable Machinery</t>
  </si>
  <si>
    <t>Semi-expendable Machinery and Equipment Expenses - Medical Equipment</t>
  </si>
  <si>
    <t>Semi-Expendable - Medical Equipment</t>
  </si>
  <si>
    <t>Due to Pag-Ibig Premium</t>
  </si>
  <si>
    <t>Reclassification of Due to Philhealth to Due to Pag Ibig</t>
  </si>
  <si>
    <t>Depreciation - IT Equipment</t>
  </si>
  <si>
    <t>Accumulated Depreciation-Information and Communication Technology Equipment</t>
  </si>
  <si>
    <t xml:space="preserve">Due to GSIS - Life and Retirement Premium </t>
  </si>
  <si>
    <t>Salaries and Wages-Contractual</t>
  </si>
  <si>
    <t xml:space="preserve">Double booking of Due to GSIS - Life and Retirement Premium </t>
  </si>
  <si>
    <t>Double booking of Due to Pag Ibig MPL</t>
  </si>
  <si>
    <t>Due to PAG-IBIG Multi Purpose Loan</t>
  </si>
  <si>
    <t>Double booking of Due to Pag Ibig Premium</t>
  </si>
  <si>
    <t>Due to PAG-IBIG - Premium</t>
  </si>
  <si>
    <t>Erroneous entry on Due to Pag Ibig Premium</t>
  </si>
  <si>
    <t>PAG-IBIG Contributions (Civilian)</t>
  </si>
  <si>
    <t xml:space="preserve">Erroneous entry on Salaries Wages - Contractual </t>
  </si>
  <si>
    <t xml:space="preserve">Due to Philhealth </t>
  </si>
  <si>
    <t>Erroneous entry on Accounts Payable for CY 2020</t>
  </si>
  <si>
    <t>Semi-Expendable Information and Communications Technology Equipment</t>
  </si>
  <si>
    <t>Transportation and Delivery Expenses</t>
  </si>
  <si>
    <t xml:space="preserve">Due to GSIS -  Life and Retirement Premium </t>
  </si>
  <si>
    <t>Due to Pag-ibig - Premium</t>
  </si>
  <si>
    <t>As of September 30, 2023</t>
  </si>
  <si>
    <t>Semi-Expendable Technical and Scientific equipment</t>
  </si>
  <si>
    <t>Other Supplies Inventory</t>
  </si>
  <si>
    <t>Other Supplies and Materials Expenses</t>
  </si>
  <si>
    <t>Liquidations to RJJWC</t>
  </si>
  <si>
    <t>Fund Cluster 3</t>
  </si>
  <si>
    <t>MDS CHECK DJ</t>
  </si>
  <si>
    <t>GOP CHECK DJ</t>
  </si>
  <si>
    <t>LGU LIQUIDATION</t>
  </si>
  <si>
    <t xml:space="preserve">GJ </t>
  </si>
  <si>
    <t>TOTAL</t>
  </si>
  <si>
    <t>JULY MDS</t>
  </si>
  <si>
    <t>JULY GOP</t>
  </si>
  <si>
    <t>JULY GJ</t>
  </si>
  <si>
    <t>Semi-expendable Technical and Scientific Expenses</t>
  </si>
  <si>
    <t>Semi-expendable Technical and Scientific</t>
  </si>
  <si>
    <t>Depreciation Lease Assets, Machinery &amp; Equipment</t>
  </si>
  <si>
    <t xml:space="preserve">LIQUIDATION OF NGAS </t>
  </si>
  <si>
    <t>Liquidation of Other Receivables</t>
  </si>
  <si>
    <t>Bank Charges</t>
  </si>
  <si>
    <t>Cash in Bank-Local Currency, Current Account - LBP</t>
  </si>
  <si>
    <t>Erroneous entry on Trust Liabilities CY 2020 &amp; 2021</t>
  </si>
  <si>
    <t>Trust Liabilities</t>
  </si>
  <si>
    <t>Drugs and Medicines Inventory</t>
  </si>
  <si>
    <t>Office Supplies Inventory</t>
  </si>
  <si>
    <t>Due to NGA's</t>
  </si>
  <si>
    <t>Balance as of December 31, 2023</t>
  </si>
  <si>
    <t>CY 2023 and Prior Years Adjustments affecting ASD Beg. Bal.</t>
  </si>
  <si>
    <t xml:space="preserve">Transfer of Due from NGO's/PO's from FC 2 to FC 1 </t>
  </si>
  <si>
    <t xml:space="preserve">Transfer of Prepaid Rent account from FC 2 to FC 1 </t>
  </si>
  <si>
    <t>Prepaid Rent</t>
  </si>
  <si>
    <t>Due from Non-Government Organizations/Civil Society Organizations</t>
  </si>
  <si>
    <t xml:space="preserve">ADJUSTMENTS ATE MARILET </t>
  </si>
  <si>
    <t>Row Labels</t>
  </si>
  <si>
    <t>Grand Total</t>
  </si>
  <si>
    <t xml:space="preserve">Sum of  777,131.79 </t>
  </si>
  <si>
    <t xml:space="preserve"> 777,131.79 </t>
  </si>
  <si>
    <t>Erroneous booking of Salaries Wages Cont instead of Due to Pag Ibig MPL FY 2021</t>
  </si>
  <si>
    <t>Reversion of outstanding Accounts Payable Year CY 2021 per EO 87 and  JC No. 1 series 2021</t>
  </si>
  <si>
    <t>To recognize reversion of Accounts Payable or Due &amp; Demandable Obligations to the Accumulated Surplus/Defecit as per (COA-DBM JOINT CIRCULAR NO. 1, Series of 2021)</t>
  </si>
  <si>
    <t>Information and Communication Technology Equipment</t>
  </si>
  <si>
    <t>Income from Grants and Donations in Kind</t>
  </si>
  <si>
    <t>Other Structures</t>
  </si>
  <si>
    <t>Subsidy from Central Office</t>
  </si>
  <si>
    <t xml:space="preserve">Other Paybales </t>
  </si>
  <si>
    <t xml:space="preserve">To revert the account balance since April 2019 under Fund Cluster 7 which was booked to OTHER PAYABLES </t>
  </si>
  <si>
    <t>Reversion of GOCC from August 2020 report</t>
  </si>
  <si>
    <t>Due to Other GOCCs</t>
  </si>
  <si>
    <t>Underbooking of Guaranty Security Payable due to erroneous entry to Cash Constructive Disbursements</t>
  </si>
  <si>
    <t xml:space="preserve">Cash Constructive Disbursement </t>
  </si>
  <si>
    <t>Guaranty Security Payable</t>
  </si>
  <si>
    <t>Recor depreciation of Motor vehicles</t>
  </si>
  <si>
    <t>Closing of FC 2 (World Bank) to FC 1</t>
  </si>
  <si>
    <t>Office Equipment</t>
  </si>
  <si>
    <t xml:space="preserve">Closing of FC 4  to FC1 - FC 1 </t>
  </si>
  <si>
    <t>Closing of FC 4  to FC1 - FC 4</t>
  </si>
  <si>
    <t>setting up and settlement of unrecorded disallowance dated 8/12/2016 (GOP AF)</t>
  </si>
  <si>
    <t>over-recording of training expenses as accounts payable  PY 2021 (WB AF)</t>
  </si>
  <si>
    <t>over-recording of other professional services as accounts payavble PY 2021 (WB AF)</t>
  </si>
  <si>
    <t>transfer of NGOs/CSOs ending balance to Fund Cluster 1 books</t>
  </si>
  <si>
    <t>transfer of office equipment's net carrying amount balance to Fund Cluster 1 books</t>
  </si>
  <si>
    <t>transfer of ICT's carrying amount balance to Fund Cluster 1 books</t>
  </si>
  <si>
    <t>transfer of prepaid rent balance to Fund Cluster 1 books</t>
  </si>
  <si>
    <t xml:space="preserve">Overbooking liquidation of NGOs/CSOs of prior year fund transfer </t>
  </si>
  <si>
    <t xml:space="preserve">Underbooking of liquidation of NGOs/CSOs of prior year fund transfer </t>
  </si>
  <si>
    <t xml:space="preserve">To recognize reversion of Due to PAG-IBIG to the Accumulated Surplus/Deficit </t>
  </si>
  <si>
    <t xml:space="preserve">To recognize reversion of Due to PHIC to the Accumulated Surplus/Deficit </t>
  </si>
  <si>
    <t xml:space="preserve">To recognize reversion of Due to GOCCs to the Accumulated Surplus/Deficit </t>
  </si>
  <si>
    <t xml:space="preserve">To recognize reversion of Due to Other Payables to the Accumulated Surplus/Deficit </t>
  </si>
  <si>
    <t>Liquidation of NGOs/CSOs of prior years fund transfer</t>
  </si>
  <si>
    <t>Receivables-Disallowances/Charges</t>
  </si>
  <si>
    <t>Due from NGOs/CSOs</t>
  </si>
  <si>
    <t>Due to PAG-IBIG</t>
  </si>
  <si>
    <t>Due to GOCCs</t>
  </si>
  <si>
    <t>unrecorded printing and publication expenses</t>
  </si>
  <si>
    <t>unrecorded medical, dental &amp; laboratory expenses</t>
  </si>
  <si>
    <t>underrecorded telephone-mobile expenses</t>
  </si>
  <si>
    <t xml:space="preserve">unrecorded Repairs &amp; Maintenance - Motor Vehicle </t>
  </si>
  <si>
    <t xml:space="preserve">unrecorded Repairs &amp; Maintenance - Information and Technology Equipment </t>
  </si>
  <si>
    <t>unrecorded Rent Expense - Motor Vehicles</t>
  </si>
  <si>
    <t>unrecorded Office Supplies Expense</t>
  </si>
  <si>
    <t>Printing and Publication Expense</t>
  </si>
  <si>
    <t>Medical,Dental &amp; Lab Supplies</t>
  </si>
  <si>
    <t>Representation Expense</t>
  </si>
  <si>
    <t>Telephone Expense- Mobile</t>
  </si>
  <si>
    <t>Repairs and Maintenance - Motor Vehicle</t>
  </si>
  <si>
    <t>Repairs and Maintenance - Information and Technology Equipment</t>
  </si>
  <si>
    <t>Rent Expense - Motor Vehicles</t>
  </si>
  <si>
    <t>Office Supplies Expense</t>
  </si>
  <si>
    <t>over recording of subisidies (erroneous setting up of accounts payable)</t>
  </si>
  <si>
    <t>over-recording of other professional services</t>
  </si>
  <si>
    <t xml:space="preserve">Overbooking liquidation of LGUs from prior year fund transfer </t>
  </si>
  <si>
    <t>ICT Equipment</t>
  </si>
  <si>
    <t>Accumulated Depreciation - Office Equipment</t>
  </si>
  <si>
    <t>Accumulated Depreciation - ICT Equipment</t>
  </si>
  <si>
    <t>JANUARY 2024</t>
  </si>
  <si>
    <t>PCF LIQUIDATION</t>
  </si>
  <si>
    <t xml:space="preserve">CHECK ADA DJ MDS </t>
  </si>
  <si>
    <t xml:space="preserve">Sum of -124,970.56 </t>
  </si>
  <si>
    <t xml:space="preserve">Sum of -783,135.31 </t>
  </si>
  <si>
    <t xml:space="preserve">BREAKDOWN OF GJ </t>
  </si>
  <si>
    <t>KYRA</t>
  </si>
  <si>
    <t xml:space="preserve">Sum of -3,564,509.92 </t>
  </si>
  <si>
    <t>GENNY</t>
  </si>
  <si>
    <t>OMAE</t>
  </si>
  <si>
    <t>EVE</t>
  </si>
  <si>
    <t xml:space="preserve">Other Supplies Inventory </t>
  </si>
  <si>
    <t>FEBRUARY 2024</t>
  </si>
  <si>
    <t xml:space="preserve">Sum of -2,361,246.75 </t>
  </si>
  <si>
    <t xml:space="preserve">Sum of -956,139.58 </t>
  </si>
  <si>
    <t>VALENE</t>
  </si>
  <si>
    <t>Repairs and Maintenance - Machinery and Equipment - IT Equipment</t>
  </si>
  <si>
    <t xml:space="preserve">Sum of -2,580,493.27 </t>
  </si>
  <si>
    <t xml:space="preserve">Sum of -2,139,728.45 </t>
  </si>
  <si>
    <t>Prepaid Insurance</t>
  </si>
  <si>
    <t>.</t>
  </si>
  <si>
    <t>CRJ</t>
  </si>
  <si>
    <t xml:space="preserve">Sum of -6,252,875.05 </t>
  </si>
  <si>
    <t>Maintenance and Other Operating Expenses</t>
  </si>
  <si>
    <t xml:space="preserve">Sum of  10,965,887.49 </t>
  </si>
  <si>
    <t xml:space="preserve">SDO LIQUIDATION </t>
  </si>
  <si>
    <t>Balance as of March 31, 2024</t>
  </si>
  <si>
    <t>As of MARCH 31, 2024</t>
  </si>
  <si>
    <t>Accumulated Surplus/(Deficit), Beginning Balance 1/1/2024</t>
  </si>
  <si>
    <t>CY 2022 and Prior Years Adjustments affecting ASD Beg. Bal.</t>
  </si>
  <si>
    <t>Honoraria (Civilian)</t>
  </si>
  <si>
    <t xml:space="preserve">Other Maintenanance and Operating Expenses </t>
  </si>
  <si>
    <t xml:space="preserve">ADJUSTMENTS EDSEL ON AP </t>
  </si>
  <si>
    <t xml:space="preserve">Jade's Adjustments </t>
  </si>
  <si>
    <t>Depreciation - Other Structures</t>
  </si>
  <si>
    <t>Accumulated Depreciation Depreciation - Other Structures</t>
  </si>
  <si>
    <t xml:space="preserve">Omae's WGFD </t>
  </si>
  <si>
    <t xml:space="preserve">Sum of -8,817,353.10 </t>
  </si>
  <si>
    <t>Eve's OMFD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</si>
</sst>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i/>
      <sz val="12"/>
      <name val="Arial Narrow"/>
      <family val="2"/>
    </font>
    <font>
      <sz val="10"/>
      <name val="Arial"/>
      <family val="2"/>
    </font>
    <font>
      <sz val="12"/>
      <color rgb="FFFF0000"/>
      <name val="Arial Narrow"/>
      <family val="2"/>
    </font>
    <font>
      <i/>
      <sz val="12"/>
      <name val="Arial Narrow"/>
      <family val="2"/>
    </font>
    <font>
      <sz val="12"/>
      <color theme="0"/>
      <name val="Arial Narrow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2"/>
      <name val="Arial"/>
      <family val="2"/>
    </font>
    <font>
      <sz val="12"/>
      <color theme="1"/>
      <name val="Arial Unicode MS"/>
      <family val="2"/>
    </font>
    <font>
      <sz val="12"/>
      <color rgb="FFFFFF00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i/>
      <sz val="12"/>
      <color theme="1"/>
      <name val="Arial Narrow"/>
      <family val="2"/>
    </font>
    <font>
      <b/>
      <i/>
      <u val="singleAccounting"/>
      <sz val="12"/>
      <color theme="1"/>
      <name val="Arial Narrow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Arial Narrow"/>
      <family val="2"/>
    </font>
    <font>
      <b/>
      <i/>
      <sz val="12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8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5" fontId="8" fillId="0" borderId="0"/>
  </cellStyleXfs>
  <cellXfs count="486">
    <xf numFmtId="0" fontId="0" fillId="0" borderId="0" xfId="0"/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vertical="center" wrapText="1"/>
    </xf>
    <xf numFmtId="164" fontId="6" fillId="0" borderId="0" xfId="5" applyFont="1" applyFill="1"/>
    <xf numFmtId="43" fontId="0" fillId="0" borderId="0" xfId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1" applyNumberFormat="1" applyFont="1"/>
    <xf numFmtId="0" fontId="12" fillId="0" borderId="0" xfId="6" applyFont="1" applyFill="1" applyAlignment="1"/>
    <xf numFmtId="164" fontId="12" fillId="0" borderId="0" xfId="6" applyNumberFormat="1" applyFont="1" applyFill="1" applyAlignment="1"/>
    <xf numFmtId="0" fontId="14" fillId="0" borderId="0" xfId="6" applyFont="1" applyFill="1" applyAlignment="1">
      <alignment horizontal="center"/>
    </xf>
    <xf numFmtId="0" fontId="15" fillId="0" borderId="0" xfId="6" applyFont="1" applyFill="1" applyAlignment="1">
      <alignment horizontal="center"/>
    </xf>
    <xf numFmtId="43" fontId="12" fillId="0" borderId="0" xfId="6" applyNumberFormat="1" applyFont="1" applyFill="1" applyAlignment="1"/>
    <xf numFmtId="0" fontId="3" fillId="0" borderId="0" xfId="6" applyFont="1" applyFill="1" applyAlignment="1">
      <alignment horizontal="left" indent="7"/>
    </xf>
    <xf numFmtId="164" fontId="3" fillId="0" borderId="0" xfId="6" applyNumberFormat="1" applyFont="1" applyFill="1" applyAlignment="1"/>
    <xf numFmtId="0" fontId="3" fillId="0" borderId="0" xfId="6" applyFont="1" applyFill="1" applyAlignment="1">
      <alignment horizontal="left" indent="13"/>
    </xf>
    <xf numFmtId="0" fontId="3" fillId="0" borderId="0" xfId="6" applyFont="1" applyFill="1" applyAlignment="1">
      <alignment horizontal="left" indent="14"/>
    </xf>
    <xf numFmtId="0" fontId="12" fillId="0" borderId="0" xfId="6" applyFont="1" applyFill="1" applyAlignment="1">
      <alignment horizontal="left" indent="7"/>
    </xf>
    <xf numFmtId="0" fontId="12" fillId="0" borderId="0" xfId="6" applyFont="1" applyFill="1" applyAlignment="1">
      <alignment horizontal="left" indent="14"/>
    </xf>
    <xf numFmtId="0" fontId="17" fillId="0" borderId="0" xfId="6" applyFont="1" applyFill="1" applyAlignment="1"/>
    <xf numFmtId="0" fontId="3" fillId="0" borderId="0" xfId="6" applyFont="1" applyFill="1" applyAlignment="1"/>
    <xf numFmtId="0" fontId="18" fillId="0" borderId="0" xfId="6" applyFont="1" applyFill="1" applyAlignment="1"/>
    <xf numFmtId="164" fontId="19" fillId="0" borderId="0" xfId="8" applyFont="1" applyFill="1" applyBorder="1"/>
    <xf numFmtId="164" fontId="3" fillId="0" borderId="0" xfId="7" applyFont="1" applyFill="1"/>
    <xf numFmtId="164" fontId="12" fillId="0" borderId="0" xfId="7" applyFont="1" applyFill="1"/>
    <xf numFmtId="0" fontId="12" fillId="0" borderId="6" xfId="6" applyFont="1" applyFill="1" applyBorder="1" applyAlignment="1">
      <alignment horizontal="left" indent="3"/>
    </xf>
    <xf numFmtId="0" fontId="3" fillId="0" borderId="5" xfId="6" applyFont="1" applyFill="1" applyBorder="1" applyAlignment="1"/>
    <xf numFmtId="0" fontId="12" fillId="0" borderId="4" xfId="6" applyFont="1" applyFill="1" applyBorder="1" applyAlignment="1"/>
    <xf numFmtId="164" fontId="3" fillId="0" borderId="1" xfId="7" applyFont="1" applyFill="1" applyBorder="1"/>
    <xf numFmtId="0" fontId="12" fillId="0" borderId="5" xfId="6" applyFont="1" applyFill="1" applyBorder="1" applyAlignment="1"/>
    <xf numFmtId="0" fontId="3" fillId="0" borderId="4" xfId="6" applyFont="1" applyFill="1" applyBorder="1" applyAlignment="1"/>
    <xf numFmtId="0" fontId="12" fillId="0" borderId="6" xfId="6" applyFont="1" applyFill="1" applyBorder="1" applyAlignment="1"/>
    <xf numFmtId="0" fontId="12" fillId="0" borderId="6" xfId="6" applyFont="1" applyFill="1" applyBorder="1" applyAlignment="1">
      <alignment horizontal="left"/>
    </xf>
    <xf numFmtId="164" fontId="12" fillId="0" borderId="1" xfId="7" applyFont="1" applyFill="1" applyBorder="1"/>
    <xf numFmtId="0" fontId="12" fillId="0" borderId="1" xfId="6" applyFont="1" applyFill="1" applyBorder="1" applyAlignment="1"/>
    <xf numFmtId="0" fontId="12" fillId="0" borderId="0" xfId="6" applyFont="1" applyFill="1" applyAlignment="1">
      <alignment horizontal="center" vertical="center" wrapText="1"/>
    </xf>
    <xf numFmtId="0" fontId="23" fillId="0" borderId="0" xfId="10" applyFont="1" applyFill="1"/>
    <xf numFmtId="0" fontId="3" fillId="0" borderId="0" xfId="0" applyFont="1" applyFill="1"/>
    <xf numFmtId="0" fontId="12" fillId="0" borderId="0" xfId="0" applyFont="1" applyFill="1"/>
    <xf numFmtId="164" fontId="12" fillId="0" borderId="0" xfId="5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3" fillId="0" borderId="4" xfId="0" applyFont="1" applyFill="1" applyBorder="1"/>
    <xf numFmtId="0" fontId="12" fillId="0" borderId="5" xfId="0" applyFont="1" applyFill="1" applyBorder="1"/>
    <xf numFmtId="0" fontId="12" fillId="0" borderId="6" xfId="0" applyFont="1" applyFill="1" applyBorder="1"/>
    <xf numFmtId="164" fontId="12" fillId="0" borderId="1" xfId="5" applyFont="1" applyFill="1" applyBorder="1"/>
    <xf numFmtId="0" fontId="12" fillId="0" borderId="1" xfId="0" applyFont="1" applyFill="1" applyBorder="1"/>
    <xf numFmtId="0" fontId="12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64" fontId="3" fillId="0" borderId="1" xfId="5" applyFont="1" applyFill="1" applyBorder="1"/>
    <xf numFmtId="164" fontId="3" fillId="0" borderId="0" xfId="5" applyFont="1" applyFill="1"/>
    <xf numFmtId="0" fontId="12" fillId="0" borderId="6" xfId="0" applyFont="1" applyFill="1" applyBorder="1" applyAlignment="1">
      <alignment horizontal="left" indent="3"/>
    </xf>
    <xf numFmtId="164" fontId="22" fillId="0" borderId="1" xfId="5" applyFont="1" applyFill="1" applyBorder="1"/>
    <xf numFmtId="164" fontId="3" fillId="0" borderId="1" xfId="5" applyFont="1" applyFill="1" applyBorder="1" applyAlignment="1">
      <alignment horizontal="left" indent="3"/>
    </xf>
    <xf numFmtId="164" fontId="12" fillId="0" borderId="1" xfId="5" applyFont="1" applyFill="1" applyBorder="1" applyAlignment="1">
      <alignment horizontal="left"/>
    </xf>
    <xf numFmtId="164" fontId="12" fillId="0" borderId="1" xfId="5" applyFont="1" applyFill="1" applyBorder="1" applyAlignment="1">
      <alignment horizontal="left" indent="3"/>
    </xf>
    <xf numFmtId="0" fontId="18" fillId="0" borderId="0" xfId="0" applyFont="1" applyFill="1"/>
    <xf numFmtId="0" fontId="17" fillId="0" borderId="0" xfId="0" applyFont="1" applyFill="1"/>
    <xf numFmtId="0" fontId="12" fillId="0" borderId="0" xfId="0" applyFont="1" applyFill="1" applyAlignment="1">
      <alignment wrapText="1"/>
    </xf>
    <xf numFmtId="164" fontId="12" fillId="0" borderId="0" xfId="5" applyFont="1" applyFill="1" applyAlignment="1">
      <alignment horizontal="left" indent="3"/>
    </xf>
    <xf numFmtId="0" fontId="12" fillId="0" borderId="0" xfId="0" applyFont="1" applyFill="1" applyAlignment="1">
      <alignment horizontal="left" indent="7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indent="13"/>
    </xf>
    <xf numFmtId="164" fontId="3" fillId="0" borderId="0" xfId="0" applyNumberFormat="1" applyFont="1" applyFill="1"/>
    <xf numFmtId="0" fontId="3" fillId="0" borderId="0" xfId="0" applyFont="1" applyFill="1" applyAlignment="1">
      <alignment horizontal="left" indent="7"/>
    </xf>
    <xf numFmtId="164" fontId="3" fillId="0" borderId="0" xfId="5" applyFont="1" applyFill="1" applyAlignment="1">
      <alignment horizontal="left" indent="3"/>
    </xf>
    <xf numFmtId="0" fontId="12" fillId="0" borderId="0" xfId="0" applyFont="1" applyFill="1" applyBorder="1"/>
    <xf numFmtId="164" fontId="12" fillId="0" borderId="0" xfId="5" applyFont="1" applyFill="1" applyBorder="1"/>
    <xf numFmtId="164" fontId="13" fillId="0" borderId="0" xfId="0" applyNumberFormat="1" applyFont="1" applyFill="1" applyBorder="1"/>
    <xf numFmtId="164" fontId="13" fillId="0" borderId="0" xfId="5" applyFont="1" applyFill="1" applyBorder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/>
    <xf numFmtId="164" fontId="12" fillId="0" borderId="0" xfId="5" applyFont="1" applyFill="1" applyBorder="1" applyAlignment="1">
      <alignment horizontal="centerContinuous" vertical="center"/>
    </xf>
    <xf numFmtId="0" fontId="26" fillId="0" borderId="0" xfId="0" applyFont="1" applyFill="1"/>
    <xf numFmtId="0" fontId="27" fillId="0" borderId="0" xfId="0" applyFont="1" applyFill="1"/>
    <xf numFmtId="164" fontId="28" fillId="0" borderId="0" xfId="5" applyFont="1" applyFill="1"/>
    <xf numFmtId="164" fontId="26" fillId="0" borderId="0" xfId="5" applyFont="1" applyFill="1"/>
    <xf numFmtId="164" fontId="29" fillId="0" borderId="0" xfId="5" applyFont="1" applyFill="1"/>
    <xf numFmtId="164" fontId="29" fillId="0" borderId="0" xfId="0" applyNumberFormat="1" applyFont="1" applyFill="1"/>
    <xf numFmtId="0" fontId="28" fillId="0" borderId="0" xfId="0" applyFont="1" applyFill="1"/>
    <xf numFmtId="164" fontId="26" fillId="0" borderId="0" xfId="5" applyFont="1" applyFill="1" applyBorder="1"/>
    <xf numFmtId="164" fontId="28" fillId="0" borderId="0" xfId="5" applyFont="1" applyFill="1" applyBorder="1"/>
    <xf numFmtId="164" fontId="26" fillId="0" borderId="0" xfId="5" applyFont="1" applyFill="1" applyAlignment="1">
      <alignment horizontal="centerContinuous" vertical="center"/>
    </xf>
    <xf numFmtId="0" fontId="3" fillId="0" borderId="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left" vertical="center"/>
    </xf>
    <xf numFmtId="0" fontId="16" fillId="0" borderId="0" xfId="6" applyFont="1" applyFill="1" applyAlignment="1">
      <alignment horizontal="center"/>
    </xf>
    <xf numFmtId="0" fontId="12" fillId="0" borderId="0" xfId="6" applyFont="1" applyFill="1" applyAlignment="1">
      <alignment horizontal="center"/>
    </xf>
    <xf numFmtId="0" fontId="12" fillId="0" borderId="1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/>
    <xf numFmtId="164" fontId="22" fillId="0" borderId="1" xfId="7" applyFont="1" applyFill="1" applyBorder="1"/>
    <xf numFmtId="43" fontId="12" fillId="0" borderId="1" xfId="9" applyFont="1" applyFill="1" applyBorder="1"/>
    <xf numFmtId="164" fontId="20" fillId="0" borderId="1" xfId="8" applyFont="1" applyFill="1" applyBorder="1" applyAlignment="1">
      <alignment horizontal="right"/>
    </xf>
    <xf numFmtId="164" fontId="21" fillId="0" borderId="1" xfId="7" applyFont="1" applyFill="1" applyBorder="1"/>
    <xf numFmtId="164" fontId="12" fillId="0" borderId="1" xfId="8" applyFont="1" applyFill="1" applyBorder="1" applyAlignment="1">
      <alignment horizontal="right"/>
    </xf>
    <xf numFmtId="164" fontId="12" fillId="0" borderId="1" xfId="7" applyFont="1" applyFill="1" applyBorder="1" applyAlignment="1">
      <alignment horizontal="left" indent="3"/>
    </xf>
    <xf numFmtId="164" fontId="12" fillId="0" borderId="1" xfId="7" applyFont="1" applyFill="1" applyBorder="1" applyAlignment="1">
      <alignment horizontal="left"/>
    </xf>
    <xf numFmtId="164" fontId="12" fillId="0" borderId="0" xfId="7" applyFont="1" applyFill="1" applyAlignment="1">
      <alignment horizontal="left" indent="3"/>
    </xf>
    <xf numFmtId="164" fontId="3" fillId="0" borderId="0" xfId="7" applyFont="1" applyFill="1" applyAlignment="1">
      <alignment horizontal="left" indent="3"/>
    </xf>
    <xf numFmtId="164" fontId="13" fillId="0" borderId="0" xfId="7" applyFont="1" applyFill="1"/>
    <xf numFmtId="164" fontId="12" fillId="0" borderId="0" xfId="7" applyFont="1" applyFill="1" applyBorder="1"/>
    <xf numFmtId="164" fontId="13" fillId="0" borderId="0" xfId="7" applyFont="1" applyFill="1" applyBorder="1"/>
    <xf numFmtId="164" fontId="31" fillId="0" borderId="0" xfId="3" applyFont="1" applyFill="1" applyAlignment="1">
      <alignment vertical="center"/>
    </xf>
    <xf numFmtId="0" fontId="31" fillId="0" borderId="0" xfId="2" applyFont="1" applyFill="1" applyAlignment="1">
      <alignment vertical="center" wrapText="1"/>
    </xf>
    <xf numFmtId="0" fontId="31" fillId="0" borderId="0" xfId="2" applyFont="1" applyFill="1" applyAlignment="1">
      <alignment vertical="center"/>
    </xf>
    <xf numFmtId="43" fontId="31" fillId="0" borderId="0" xfId="2" applyNumberFormat="1" applyFont="1" applyFill="1" applyAlignment="1">
      <alignment vertical="center"/>
    </xf>
    <xf numFmtId="164" fontId="31" fillId="0" borderId="0" xfId="3" applyFont="1" applyFill="1" applyAlignment="1">
      <alignment vertical="center" wrapText="1"/>
    </xf>
    <xf numFmtId="164" fontId="31" fillId="0" borderId="0" xfId="2" applyNumberFormat="1" applyFont="1" applyFill="1" applyAlignment="1">
      <alignment vertical="center"/>
    </xf>
    <xf numFmtId="164" fontId="32" fillId="0" borderId="0" xfId="3" applyFont="1" applyFill="1" applyAlignment="1">
      <alignment vertical="center"/>
    </xf>
    <xf numFmtId="0" fontId="32" fillId="0" borderId="0" xfId="2" applyFont="1" applyFill="1" applyAlignment="1">
      <alignment vertical="center" wrapText="1"/>
    </xf>
    <xf numFmtId="0" fontId="32" fillId="0" borderId="0" xfId="2" applyFont="1" applyFill="1" applyAlignment="1">
      <alignment vertical="center"/>
    </xf>
    <xf numFmtId="0" fontId="32" fillId="0" borderId="0" xfId="2" applyFont="1" applyFill="1" applyAlignment="1">
      <alignment horizontal="center" vertical="center" wrapText="1"/>
    </xf>
    <xf numFmtId="164" fontId="31" fillId="0" borderId="1" xfId="3" applyFont="1" applyFill="1" applyBorder="1" applyAlignment="1">
      <alignment vertical="center"/>
    </xf>
    <xf numFmtId="0" fontId="32" fillId="0" borderId="1" xfId="2" applyFont="1" applyFill="1" applyBorder="1" applyAlignment="1">
      <alignment vertical="center" wrapText="1"/>
    </xf>
    <xf numFmtId="0" fontId="32" fillId="0" borderId="1" xfId="2" applyFont="1" applyFill="1" applyBorder="1" applyAlignment="1">
      <alignment vertical="center"/>
    </xf>
    <xf numFmtId="0" fontId="32" fillId="0" borderId="4" xfId="2" applyFont="1" applyFill="1" applyBorder="1" applyAlignment="1">
      <alignment vertical="center"/>
    </xf>
    <xf numFmtId="0" fontId="32" fillId="0" borderId="6" xfId="2" applyFont="1" applyFill="1" applyBorder="1" applyAlignment="1">
      <alignment vertical="center" wrapText="1"/>
    </xf>
    <xf numFmtId="164" fontId="32" fillId="0" borderId="1" xfId="3" applyFont="1" applyFill="1" applyBorder="1" applyAlignment="1">
      <alignment vertical="center"/>
    </xf>
    <xf numFmtId="0" fontId="31" fillId="0" borderId="7" xfId="2" applyFont="1" applyFill="1" applyBorder="1" applyAlignment="1">
      <alignment vertical="center"/>
    </xf>
    <xf numFmtId="0" fontId="31" fillId="0" borderId="1" xfId="2" applyFont="1" applyFill="1" applyBorder="1" applyAlignment="1">
      <alignment vertical="center" wrapText="1"/>
    </xf>
    <xf numFmtId="164" fontId="31" fillId="0" borderId="1" xfId="3" applyFont="1" applyFill="1" applyBorder="1" applyAlignment="1">
      <alignment vertical="center" wrapText="1"/>
    </xf>
    <xf numFmtId="0" fontId="33" fillId="0" borderId="4" xfId="2" applyFont="1" applyFill="1" applyBorder="1" applyAlignment="1">
      <alignment vertical="center"/>
    </xf>
    <xf numFmtId="0" fontId="33" fillId="0" borderId="6" xfId="2" applyFont="1" applyFill="1" applyBorder="1" applyAlignment="1">
      <alignment vertical="center" wrapText="1"/>
    </xf>
    <xf numFmtId="164" fontId="33" fillId="0" borderId="1" xfId="3" applyFont="1" applyFill="1" applyBorder="1" applyAlignment="1">
      <alignment vertical="center"/>
    </xf>
    <xf numFmtId="164" fontId="33" fillId="0" borderId="1" xfId="3" applyFont="1" applyFill="1" applyBorder="1" applyAlignment="1">
      <alignment vertical="center" wrapText="1"/>
    </xf>
    <xf numFmtId="164" fontId="33" fillId="0" borderId="0" xfId="3" applyFont="1" applyFill="1" applyAlignment="1">
      <alignment vertical="center"/>
    </xf>
    <xf numFmtId="0" fontId="33" fillId="0" borderId="0" xfId="2" applyFont="1" applyFill="1" applyAlignment="1">
      <alignment vertical="center"/>
    </xf>
    <xf numFmtId="0" fontId="32" fillId="0" borderId="6" xfId="2" applyFont="1" applyFill="1" applyBorder="1" applyAlignment="1">
      <alignment horizontal="left" vertical="center" wrapText="1"/>
    </xf>
    <xf numFmtId="164" fontId="32" fillId="0" borderId="1" xfId="3" applyFont="1" applyFill="1" applyBorder="1" applyAlignment="1">
      <alignment vertical="center" wrapText="1"/>
    </xf>
    <xf numFmtId="0" fontId="31" fillId="0" borderId="4" xfId="2" applyFont="1" applyFill="1" applyBorder="1" applyAlignment="1">
      <alignment vertical="center"/>
    </xf>
    <xf numFmtId="0" fontId="31" fillId="0" borderId="6" xfId="2" applyFont="1" applyFill="1" applyBorder="1" applyAlignment="1">
      <alignment vertical="center" wrapText="1"/>
    </xf>
    <xf numFmtId="164" fontId="32" fillId="0" borderId="1" xfId="3" applyFont="1" applyFill="1" applyBorder="1" applyAlignment="1">
      <alignment horizontal="left" vertical="center" wrapText="1"/>
    </xf>
    <xf numFmtId="164" fontId="32" fillId="0" borderId="1" xfId="3" applyFont="1" applyFill="1" applyBorder="1" applyAlignment="1">
      <alignment horizontal="left" vertical="center"/>
    </xf>
    <xf numFmtId="0" fontId="34" fillId="0" borderId="0" xfId="2" applyFont="1" applyFill="1" applyAlignment="1">
      <alignment vertical="center"/>
    </xf>
    <xf numFmtId="164" fontId="32" fillId="0" borderId="0" xfId="2" applyNumberFormat="1" applyFont="1" applyFill="1" applyAlignment="1">
      <alignment vertical="center" wrapText="1"/>
    </xf>
    <xf numFmtId="43" fontId="32" fillId="0" borderId="0" xfId="2" applyNumberFormat="1" applyFont="1" applyFill="1" applyAlignment="1">
      <alignment vertical="center" wrapText="1"/>
    </xf>
    <xf numFmtId="164" fontId="32" fillId="0" borderId="0" xfId="2" applyNumberFormat="1" applyFont="1" applyFill="1" applyAlignment="1">
      <alignment vertical="center"/>
    </xf>
    <xf numFmtId="43" fontId="32" fillId="0" borderId="0" xfId="2" applyNumberFormat="1" applyFont="1" applyFill="1" applyAlignment="1">
      <alignment vertical="center"/>
    </xf>
    <xf numFmtId="0" fontId="32" fillId="0" borderId="0" xfId="2" applyFont="1" applyFill="1" applyAlignment="1">
      <alignment horizontal="left" vertical="center" wrapText="1"/>
    </xf>
    <xf numFmtId="164" fontId="32" fillId="0" borderId="0" xfId="3" applyFont="1" applyFill="1" applyAlignment="1">
      <alignment horizontal="left" vertical="center"/>
    </xf>
    <xf numFmtId="0" fontId="32" fillId="0" borderId="0" xfId="2" applyFont="1" applyFill="1" applyAlignment="1">
      <alignment horizontal="left" vertical="center"/>
    </xf>
    <xf numFmtId="0" fontId="31" fillId="0" borderId="0" xfId="2" applyFont="1" applyFill="1" applyAlignment="1">
      <alignment horizontal="left" vertical="center" wrapText="1"/>
    </xf>
    <xf numFmtId="0" fontId="31" fillId="0" borderId="0" xfId="2" applyFont="1" applyFill="1" applyAlignment="1">
      <alignment horizontal="left" vertical="center"/>
    </xf>
    <xf numFmtId="164" fontId="32" fillId="0" borderId="0" xfId="3" applyFont="1" applyFill="1" applyAlignment="1">
      <alignment vertical="center" wrapText="1"/>
    </xf>
    <xf numFmtId="164" fontId="31" fillId="0" borderId="0" xfId="3" applyFont="1" applyFill="1" applyAlignment="1">
      <alignment horizontal="left" vertical="center"/>
    </xf>
    <xf numFmtId="0" fontId="32" fillId="0" borderId="0" xfId="2" applyFont="1" applyFill="1" applyAlignment="1">
      <alignment horizontal="center" vertical="center"/>
    </xf>
    <xf numFmtId="164" fontId="31" fillId="0" borderId="0" xfId="3" applyFont="1" applyFill="1" applyAlignment="1">
      <alignment horizontal="center" vertical="center"/>
    </xf>
    <xf numFmtId="0" fontId="31" fillId="0" borderId="0" xfId="2" applyFont="1" applyFill="1" applyAlignment="1">
      <alignment horizontal="center" vertical="center"/>
    </xf>
    <xf numFmtId="164" fontId="32" fillId="0" borderId="0" xfId="3" applyFont="1" applyFill="1" applyBorder="1" applyAlignment="1">
      <alignment vertical="center"/>
    </xf>
    <xf numFmtId="0" fontId="31" fillId="0" borderId="11" xfId="2" applyFont="1" applyFill="1" applyBorder="1" applyAlignment="1">
      <alignment horizontal="center" vertical="center" wrapText="1"/>
    </xf>
    <xf numFmtId="164" fontId="32" fillId="0" borderId="0" xfId="3" applyFont="1" applyFill="1" applyAlignment="1">
      <alignment horizontal="centerContinuous" vertical="center"/>
    </xf>
    <xf numFmtId="0" fontId="6" fillId="0" borderId="0" xfId="0" applyFont="1" applyFill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164" fontId="6" fillId="0" borderId="1" xfId="5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64" fontId="6" fillId="0" borderId="6" xfId="5" applyFont="1" applyFill="1" applyBorder="1" applyAlignment="1">
      <alignment horizontal="left" vertical="center"/>
    </xf>
    <xf numFmtId="164" fontId="6" fillId="0" borderId="1" xfId="5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164" fontId="6" fillId="0" borderId="0" xfId="5" applyFont="1" applyFill="1" applyAlignment="1">
      <alignment horizontal="left" vertical="center"/>
    </xf>
    <xf numFmtId="164" fontId="32" fillId="0" borderId="0" xfId="5" applyFont="1" applyFill="1" applyAlignment="1">
      <alignment vertical="center"/>
    </xf>
    <xf numFmtId="164" fontId="6" fillId="0" borderId="0" xfId="5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/>
    </xf>
    <xf numFmtId="164" fontId="5" fillId="0" borderId="0" xfId="5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164" fontId="10" fillId="0" borderId="1" xfId="5" applyFont="1" applyFill="1" applyBorder="1" applyAlignment="1">
      <alignment horizontal="left" vertical="center"/>
    </xf>
    <xf numFmtId="164" fontId="10" fillId="0" borderId="0" xfId="5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5" fontId="6" fillId="0" borderId="1" xfId="4" applyFont="1" applyFill="1" applyBorder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164" fontId="30" fillId="0" borderId="0" xfId="5" applyFont="1" applyFill="1" applyAlignment="1">
      <alignment horizontal="left" vertical="center"/>
    </xf>
    <xf numFmtId="164" fontId="10" fillId="0" borderId="6" xfId="5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 wrapText="1"/>
    </xf>
    <xf numFmtId="43" fontId="6" fillId="0" borderId="0" xfId="0" applyNumberFormat="1" applyFont="1" applyFill="1" applyAlignment="1">
      <alignment horizontal="left" vertical="center"/>
    </xf>
    <xf numFmtId="164" fontId="6" fillId="0" borderId="11" xfId="5" applyFont="1" applyFill="1" applyBorder="1" applyAlignment="1">
      <alignment horizontal="left" vertical="center"/>
    </xf>
    <xf numFmtId="164" fontId="32" fillId="0" borderId="0" xfId="5" applyFont="1" applyFill="1" applyAlignment="1">
      <alignment horizontal="left" vertical="center"/>
    </xf>
    <xf numFmtId="164" fontId="11" fillId="0" borderId="0" xfId="5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64" fontId="9" fillId="0" borderId="0" xfId="5" applyFont="1" applyFill="1" applyAlignment="1">
      <alignment horizontal="left" vertical="center"/>
    </xf>
    <xf numFmtId="164" fontId="11" fillId="0" borderId="0" xfId="0" applyNumberFormat="1" applyFont="1" applyFill="1" applyAlignment="1">
      <alignment horizontal="left" vertical="center"/>
    </xf>
    <xf numFmtId="164" fontId="26" fillId="0" borderId="0" xfId="5" applyFont="1" applyFill="1" applyBorder="1" applyAlignment="1">
      <alignment vertical="center"/>
    </xf>
    <xf numFmtId="164" fontId="6" fillId="0" borderId="0" xfId="5" applyFont="1" applyFill="1" applyBorder="1" applyAlignment="1">
      <alignment horizontal="left" vertical="center"/>
    </xf>
    <xf numFmtId="164" fontId="11" fillId="0" borderId="0" xfId="5" applyFont="1" applyFill="1" applyBorder="1" applyAlignment="1">
      <alignment horizontal="left" vertical="center"/>
    </xf>
    <xf numFmtId="164" fontId="27" fillId="0" borderId="0" xfId="5" applyFont="1" applyFill="1" applyBorder="1" applyAlignment="1">
      <alignment vertical="center"/>
    </xf>
    <xf numFmtId="164" fontId="32" fillId="0" borderId="6" xfId="3" applyFont="1" applyFill="1" applyBorder="1" applyAlignment="1">
      <alignment vertical="center"/>
    </xf>
    <xf numFmtId="0" fontId="32" fillId="0" borderId="5" xfId="2" applyFont="1" applyFill="1" applyBorder="1" applyAlignment="1">
      <alignment horizontal="center" vertical="center"/>
    </xf>
    <xf numFmtId="164" fontId="31" fillId="0" borderId="0" xfId="1" applyNumberFormat="1" applyFont="1" applyFill="1" applyAlignment="1">
      <alignment vertical="center"/>
    </xf>
    <xf numFmtId="164" fontId="32" fillId="0" borderId="0" xfId="1" applyNumberFormat="1" applyFont="1" applyFill="1" applyAlignment="1">
      <alignment vertical="center"/>
    </xf>
    <xf numFmtId="164" fontId="32" fillId="0" borderId="1" xfId="1" applyNumberFormat="1" applyFont="1" applyFill="1" applyBorder="1" applyAlignment="1">
      <alignment horizontal="center" vertical="center" wrapText="1"/>
    </xf>
    <xf numFmtId="164" fontId="32" fillId="0" borderId="1" xfId="1" applyNumberFormat="1" applyFont="1" applyFill="1" applyBorder="1" applyAlignment="1">
      <alignment vertical="center"/>
    </xf>
    <xf numFmtId="164" fontId="31" fillId="0" borderId="1" xfId="1" applyNumberFormat="1" applyFont="1" applyFill="1" applyBorder="1" applyAlignment="1">
      <alignment vertical="center"/>
    </xf>
    <xf numFmtId="164" fontId="33" fillId="0" borderId="1" xfId="1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43" fontId="12" fillId="0" borderId="1" xfId="1" applyFont="1" applyFill="1" applyBorder="1"/>
    <xf numFmtId="0" fontId="12" fillId="0" borderId="4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left" vertical="center" wrapText="1"/>
    </xf>
    <xf numFmtId="164" fontId="12" fillId="0" borderId="1" xfId="5" applyFont="1" applyFill="1" applyBorder="1" applyAlignment="1">
      <alignment vertical="center"/>
    </xf>
    <xf numFmtId="164" fontId="22" fillId="0" borderId="1" xfId="5" applyFont="1" applyFill="1" applyBorder="1" applyAlignment="1">
      <alignment vertical="center"/>
    </xf>
    <xf numFmtId="164" fontId="12" fillId="0" borderId="0" xfId="5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4" xfId="2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164" fontId="10" fillId="0" borderId="1" xfId="5" applyFont="1" applyFill="1" applyBorder="1" applyAlignment="1">
      <alignment horizontal="left" vertical="center" wrapText="1"/>
    </xf>
    <xf numFmtId="164" fontId="26" fillId="0" borderId="1" xfId="5" applyFont="1" applyFill="1" applyBorder="1" applyAlignment="1">
      <alignment horizontal="left" vertical="center" wrapText="1"/>
    </xf>
    <xf numFmtId="164" fontId="6" fillId="0" borderId="0" xfId="5" applyFont="1" applyFill="1" applyAlignment="1">
      <alignment horizontal="left" vertical="center" wrapText="1"/>
    </xf>
    <xf numFmtId="164" fontId="6" fillId="0" borderId="0" xfId="5" applyFont="1" applyFill="1" applyBorder="1" applyAlignment="1">
      <alignment horizontal="left" vertical="center" wrapText="1"/>
    </xf>
    <xf numFmtId="164" fontId="31" fillId="0" borderId="0" xfId="1" applyNumberFormat="1" applyFont="1" applyFill="1" applyAlignment="1">
      <alignment horizontal="center" vertical="center"/>
    </xf>
    <xf numFmtId="164" fontId="32" fillId="0" borderId="0" xfId="1" applyNumberFormat="1" applyFont="1" applyFill="1" applyAlignment="1">
      <alignment horizontal="center" vertical="center"/>
    </xf>
    <xf numFmtId="164" fontId="32" fillId="0" borderId="1" xfId="1" applyNumberFormat="1" applyFont="1" applyFill="1" applyBorder="1" applyAlignment="1">
      <alignment horizontal="center" vertical="center"/>
    </xf>
    <xf numFmtId="164" fontId="31" fillId="0" borderId="1" xfId="1" applyNumberFormat="1" applyFont="1" applyFill="1" applyBorder="1" applyAlignment="1">
      <alignment horizontal="center" vertical="center"/>
    </xf>
    <xf numFmtId="164" fontId="33" fillId="0" borderId="1" xfId="1" applyNumberFormat="1" applyFont="1" applyFill="1" applyBorder="1" applyAlignment="1">
      <alignment horizontal="center" vertical="center"/>
    </xf>
    <xf numFmtId="0" fontId="33" fillId="0" borderId="1" xfId="1" applyNumberFormat="1" applyFont="1" applyFill="1" applyBorder="1" applyAlignment="1">
      <alignment horizontal="center" vertical="center"/>
    </xf>
    <xf numFmtId="0" fontId="32" fillId="0" borderId="1" xfId="1" applyNumberFormat="1" applyFont="1" applyFill="1" applyBorder="1" applyAlignment="1">
      <alignment horizontal="center" vertical="center"/>
    </xf>
    <xf numFmtId="0" fontId="31" fillId="0" borderId="1" xfId="1" applyNumberFormat="1" applyFont="1" applyFill="1" applyBorder="1" applyAlignment="1">
      <alignment horizontal="center" vertical="center"/>
    </xf>
    <xf numFmtId="0" fontId="6" fillId="0" borderId="0" xfId="4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1" fillId="0" borderId="0" xfId="0" applyFont="1" applyFill="1"/>
    <xf numFmtId="43" fontId="31" fillId="0" borderId="0" xfId="1" applyFont="1" applyFill="1" applyAlignment="1">
      <alignment vertical="center"/>
    </xf>
    <xf numFmtId="164" fontId="34" fillId="0" borderId="0" xfId="3" applyFont="1" applyFill="1" applyAlignment="1">
      <alignment vertical="center"/>
    </xf>
    <xf numFmtId="43" fontId="31" fillId="0" borderId="0" xfId="1" quotePrefix="1" applyFont="1" applyFill="1" applyAlignment="1">
      <alignment vertical="center"/>
    </xf>
    <xf numFmtId="43" fontId="6" fillId="0" borderId="0" xfId="1" applyFont="1" applyFill="1" applyAlignment="1">
      <alignment horizontal="left" vertical="center"/>
    </xf>
    <xf numFmtId="43" fontId="31" fillId="0" borderId="0" xfId="1" applyFont="1" applyFill="1" applyAlignment="1">
      <alignment horizontal="center" vertical="center"/>
    </xf>
    <xf numFmtId="43" fontId="31" fillId="0" borderId="0" xfId="1" applyFont="1" applyFill="1" applyAlignment="1">
      <alignment vertical="center" wrapText="1"/>
    </xf>
    <xf numFmtId="0" fontId="2" fillId="0" borderId="0" xfId="0" applyFont="1"/>
    <xf numFmtId="43" fontId="2" fillId="0" borderId="0" xfId="1" applyFont="1"/>
    <xf numFmtId="0" fontId="31" fillId="0" borderId="0" xfId="2" applyFont="1" applyFill="1" applyBorder="1" applyAlignment="1">
      <alignment horizontal="center" vertical="center" wrapText="1"/>
    </xf>
    <xf numFmtId="43" fontId="32" fillId="0" borderId="6" xfId="1" applyFont="1" applyFill="1" applyBorder="1" applyAlignment="1">
      <alignment horizontal="left" vertical="center" wrapText="1"/>
    </xf>
    <xf numFmtId="0" fontId="31" fillId="0" borderId="0" xfId="2" applyFont="1" applyFill="1" applyAlignment="1">
      <alignment horizontal="center" vertical="center" wrapText="1"/>
    </xf>
    <xf numFmtId="0" fontId="36" fillId="0" borderId="0" xfId="0" applyFont="1"/>
    <xf numFmtId="0" fontId="2" fillId="2" borderId="0" xfId="0" applyFont="1" applyFill="1"/>
    <xf numFmtId="43" fontId="2" fillId="2" borderId="0" xfId="1" applyFont="1" applyFill="1"/>
    <xf numFmtId="43" fontId="0" fillId="2" borderId="0" xfId="1" applyFont="1" applyFill="1"/>
    <xf numFmtId="0" fontId="0" fillId="2" borderId="0" xfId="0" applyFill="1"/>
    <xf numFmtId="165" fontId="6" fillId="0" borderId="1" xfId="4" applyFont="1" applyFill="1" applyBorder="1" applyAlignment="1">
      <alignment horizontal="left" vertical="center" wrapText="1"/>
    </xf>
    <xf numFmtId="43" fontId="0" fillId="2" borderId="0" xfId="0" applyNumberFormat="1" applyFill="1"/>
    <xf numFmtId="43" fontId="0" fillId="0" borderId="0" xfId="0" applyNumberFormat="1"/>
    <xf numFmtId="43" fontId="12" fillId="0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43" fontId="36" fillId="0" borderId="0" xfId="1" applyFont="1"/>
    <xf numFmtId="164" fontId="35" fillId="0" borderId="0" xfId="3" applyFont="1" applyFill="1" applyAlignment="1">
      <alignment vertical="center"/>
    </xf>
    <xf numFmtId="43" fontId="32" fillId="0" borderId="6" xfId="2" applyNumberFormat="1" applyFont="1" applyFill="1" applyBorder="1" applyAlignment="1">
      <alignment horizontal="left" vertical="center" wrapText="1"/>
    </xf>
    <xf numFmtId="165" fontId="27" fillId="0" borderId="0" xfId="11" applyFont="1" applyFill="1" applyAlignment="1">
      <alignment horizontal="center"/>
    </xf>
    <xf numFmtId="43" fontId="27" fillId="0" borderId="0" xfId="1" applyFont="1" applyFill="1"/>
    <xf numFmtId="164" fontId="12" fillId="0" borderId="1" xfId="5" applyFont="1" applyFill="1" applyBorder="1" applyAlignment="1">
      <alignment vertical="center" wrapText="1"/>
    </xf>
    <xf numFmtId="43" fontId="12" fillId="0" borderId="0" xfId="0" applyNumberFormat="1" applyFont="1" applyFill="1" applyBorder="1"/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165" fontId="26" fillId="0" borderId="0" xfId="11" applyFont="1" applyFill="1" applyAlignment="1">
      <alignment horizontal="left"/>
    </xf>
    <xf numFmtId="43" fontId="26" fillId="0" borderId="0" xfId="1" applyFont="1" applyFill="1" applyAlignment="1">
      <alignment horizontal="left"/>
    </xf>
    <xf numFmtId="43" fontId="32" fillId="0" borderId="0" xfId="2" applyNumberFormat="1" applyFont="1" applyFill="1" applyAlignment="1">
      <alignment horizontal="left" vertical="center" wrapText="1"/>
    </xf>
    <xf numFmtId="164" fontId="31" fillId="0" borderId="0" xfId="2" applyNumberFormat="1" applyFont="1" applyFill="1" applyAlignment="1">
      <alignment horizontal="right" vertical="center" wrapText="1"/>
    </xf>
    <xf numFmtId="0" fontId="40" fillId="0" borderId="0" xfId="2" applyFont="1" applyFill="1" applyAlignment="1">
      <alignment horizontal="center" vertical="center"/>
    </xf>
    <xf numFmtId="0" fontId="41" fillId="0" borderId="0" xfId="2" applyFont="1" applyFill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41" fillId="0" borderId="5" xfId="2" applyFont="1" applyFill="1" applyBorder="1" applyAlignment="1">
      <alignment horizontal="center" vertical="center"/>
    </xf>
    <xf numFmtId="0" fontId="42" fillId="0" borderId="5" xfId="2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49" fontId="41" fillId="0" borderId="0" xfId="1" applyNumberFormat="1" applyFont="1" applyFill="1" applyAlignment="1">
      <alignment horizontal="center" vertical="center"/>
    </xf>
    <xf numFmtId="49" fontId="41" fillId="0" borderId="0" xfId="2" applyNumberFormat="1" applyFont="1" applyFill="1" applyAlignment="1">
      <alignment horizontal="center" vertical="center"/>
    </xf>
    <xf numFmtId="0" fontId="33" fillId="0" borderId="1" xfId="2" applyFont="1" applyFill="1" applyBorder="1" applyAlignment="1">
      <alignment horizontal="center" vertical="center"/>
    </xf>
    <xf numFmtId="0" fontId="33" fillId="0" borderId="1" xfId="2" applyFont="1" applyFill="1" applyBorder="1" applyAlignment="1">
      <alignment vertical="center" wrapText="1"/>
    </xf>
    <xf numFmtId="0" fontId="32" fillId="0" borderId="1" xfId="2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left" vertical="center" wrapText="1"/>
    </xf>
    <xf numFmtId="43" fontId="32" fillId="0" borderId="1" xfId="1" applyFont="1" applyFill="1" applyBorder="1" applyAlignment="1">
      <alignment horizontal="left" vertical="center" wrapText="1"/>
    </xf>
    <xf numFmtId="43" fontId="32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center" wrapText="1"/>
    </xf>
    <xf numFmtId="0" fontId="31" fillId="0" borderId="1" xfId="2" applyFont="1" applyFill="1" applyBorder="1" applyAlignment="1">
      <alignment vertical="center"/>
    </xf>
    <xf numFmtId="164" fontId="31" fillId="0" borderId="1" xfId="2" applyNumberFormat="1" applyFont="1" applyFill="1" applyBorder="1" applyAlignment="1">
      <alignment vertical="center"/>
    </xf>
    <xf numFmtId="43" fontId="31" fillId="0" borderId="1" xfId="1" applyFont="1" applyFill="1" applyBorder="1" applyAlignment="1">
      <alignment vertical="center"/>
    </xf>
    <xf numFmtId="43" fontId="31" fillId="0" borderId="1" xfId="2" applyNumberFormat="1" applyFont="1" applyFill="1" applyBorder="1" applyAlignment="1">
      <alignment vertical="center"/>
    </xf>
    <xf numFmtId="0" fontId="31" fillId="0" borderId="1" xfId="2" applyFont="1" applyFill="1" applyBorder="1" applyAlignment="1">
      <alignment horizontal="center" vertical="center" wrapText="1"/>
    </xf>
    <xf numFmtId="0" fontId="33" fillId="0" borderId="1" xfId="2" applyFont="1" applyFill="1" applyBorder="1" applyAlignment="1">
      <alignment vertical="center"/>
    </xf>
    <xf numFmtId="0" fontId="34" fillId="0" borderId="0" xfId="2" applyFont="1" applyFill="1" applyBorder="1" applyAlignment="1">
      <alignment vertical="center"/>
    </xf>
    <xf numFmtId="0" fontId="32" fillId="0" borderId="0" xfId="2" applyFont="1" applyFill="1" applyBorder="1" applyAlignment="1">
      <alignment horizontal="center" vertical="center"/>
    </xf>
    <xf numFmtId="164" fontId="32" fillId="0" borderId="0" xfId="2" applyNumberFormat="1" applyFont="1" applyFill="1" applyBorder="1" applyAlignment="1">
      <alignment vertical="center" wrapText="1"/>
    </xf>
    <xf numFmtId="164" fontId="31" fillId="0" borderId="0" xfId="3" applyFont="1" applyFill="1" applyBorder="1" applyAlignment="1">
      <alignment vertical="center"/>
    </xf>
    <xf numFmtId="43" fontId="32" fillId="0" borderId="0" xfId="2" applyNumberFormat="1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/>
    </xf>
    <xf numFmtId="164" fontId="32" fillId="0" borderId="0" xfId="1" applyNumberFormat="1" applyFont="1" applyFill="1" applyBorder="1" applyAlignment="1">
      <alignment vertical="center"/>
    </xf>
    <xf numFmtId="164" fontId="32" fillId="0" borderId="0" xfId="1" applyNumberFormat="1" applyFont="1" applyFill="1" applyBorder="1" applyAlignment="1">
      <alignment horizontal="center" vertical="center"/>
    </xf>
    <xf numFmtId="0" fontId="31" fillId="0" borderId="0" xfId="2" applyFont="1" applyFill="1" applyBorder="1" applyAlignment="1">
      <alignment vertical="center" wrapText="1"/>
    </xf>
    <xf numFmtId="43" fontId="32" fillId="0" borderId="0" xfId="2" applyNumberFormat="1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164" fontId="31" fillId="0" borderId="0" xfId="2" applyNumberFormat="1" applyFont="1" applyFill="1" applyBorder="1" applyAlignment="1">
      <alignment vertical="center"/>
    </xf>
    <xf numFmtId="0" fontId="32" fillId="0" borderId="0" xfId="2" applyFont="1" applyFill="1" applyBorder="1" applyAlignment="1">
      <alignment horizontal="left" vertical="center" wrapText="1"/>
    </xf>
    <xf numFmtId="164" fontId="32" fillId="0" borderId="0" xfId="3" applyFont="1" applyFill="1" applyBorder="1" applyAlignment="1">
      <alignment horizontal="left" vertical="center"/>
    </xf>
    <xf numFmtId="0" fontId="32" fillId="0" borderId="0" xfId="2" applyFont="1" applyFill="1" applyBorder="1" applyAlignment="1">
      <alignment horizontal="left" vertical="center"/>
    </xf>
    <xf numFmtId="0" fontId="32" fillId="0" borderId="0" xfId="2" applyFont="1" applyFill="1" applyBorder="1" applyAlignment="1">
      <alignment vertical="center" wrapText="1"/>
    </xf>
    <xf numFmtId="0" fontId="31" fillId="0" borderId="0" xfId="2" applyFont="1" applyFill="1" applyBorder="1" applyAlignment="1">
      <alignment horizontal="left" vertical="center" wrapText="1"/>
    </xf>
    <xf numFmtId="164" fontId="31" fillId="0" borderId="0" xfId="1" applyNumberFormat="1" applyFont="1" applyFill="1" applyBorder="1" applyAlignment="1">
      <alignment vertical="center"/>
    </xf>
    <xf numFmtId="164" fontId="31" fillId="0" borderId="0" xfId="1" applyNumberFormat="1" applyFont="1" applyFill="1" applyBorder="1" applyAlignment="1">
      <alignment horizontal="center" vertical="center"/>
    </xf>
    <xf numFmtId="0" fontId="31" fillId="0" borderId="0" xfId="2" applyFont="1" applyFill="1" applyBorder="1" applyAlignment="1">
      <alignment horizontal="left" vertical="center"/>
    </xf>
    <xf numFmtId="164" fontId="32" fillId="0" borderId="0" xfId="3" applyFont="1" applyFill="1" applyBorder="1" applyAlignment="1">
      <alignment vertical="center" wrapText="1"/>
    </xf>
    <xf numFmtId="164" fontId="31" fillId="0" borderId="0" xfId="3" applyFont="1" applyFill="1" applyBorder="1" applyAlignment="1">
      <alignment horizontal="left" vertical="center"/>
    </xf>
    <xf numFmtId="0" fontId="31" fillId="0" borderId="0" xfId="2" applyFont="1" applyFill="1" applyBorder="1" applyAlignment="1">
      <alignment horizontal="center" vertical="center"/>
    </xf>
    <xf numFmtId="165" fontId="27" fillId="0" borderId="0" xfId="11" applyFont="1" applyFill="1" applyBorder="1" applyAlignment="1">
      <alignment horizontal="center"/>
    </xf>
    <xf numFmtId="164" fontId="32" fillId="0" borderId="0" xfId="5" applyFont="1" applyFill="1" applyBorder="1" applyAlignment="1">
      <alignment vertical="center"/>
    </xf>
    <xf numFmtId="164" fontId="32" fillId="0" borderId="0" xfId="2" applyNumberFormat="1" applyFont="1" applyFill="1" applyBorder="1" applyAlignment="1">
      <alignment vertical="center"/>
    </xf>
    <xf numFmtId="43" fontId="27" fillId="0" borderId="0" xfId="1" applyFont="1" applyFill="1" applyBorder="1"/>
    <xf numFmtId="0" fontId="32" fillId="0" borderId="0" xfId="2" applyFont="1" applyFill="1" applyBorder="1" applyAlignment="1">
      <alignment horizontal="center" vertical="center" wrapText="1"/>
    </xf>
    <xf numFmtId="164" fontId="31" fillId="0" borderId="0" xfId="3" applyFont="1" applyFill="1" applyBorder="1" applyAlignment="1">
      <alignment vertical="center" wrapText="1"/>
    </xf>
    <xf numFmtId="164" fontId="32" fillId="0" borderId="0" xfId="3" applyFont="1" applyFill="1" applyBorder="1" applyAlignment="1">
      <alignment horizontal="centerContinuous" vertical="center"/>
    </xf>
    <xf numFmtId="43" fontId="31" fillId="0" borderId="0" xfId="1" applyFont="1" applyFill="1" applyBorder="1" applyAlignment="1">
      <alignment vertical="center" wrapText="1"/>
    </xf>
    <xf numFmtId="43" fontId="31" fillId="0" borderId="0" xfId="1" applyFont="1" applyFill="1" applyBorder="1" applyAlignment="1">
      <alignment horizontal="center" vertical="center"/>
    </xf>
    <xf numFmtId="43" fontId="31" fillId="0" borderId="0" xfId="1" applyFont="1" applyFill="1" applyBorder="1" applyAlignment="1">
      <alignment vertical="center"/>
    </xf>
    <xf numFmtId="49" fontId="31" fillId="0" borderId="0" xfId="1" applyNumberFormat="1" applyFont="1" applyFill="1" applyBorder="1" applyAlignment="1">
      <alignment horizontal="center" vertical="center"/>
    </xf>
    <xf numFmtId="49" fontId="31" fillId="0" borderId="0" xfId="2" applyNumberFormat="1" applyFont="1" applyFill="1" applyBorder="1" applyAlignment="1">
      <alignment horizontal="center" vertical="center"/>
    </xf>
    <xf numFmtId="0" fontId="31" fillId="0" borderId="0" xfId="0" applyFont="1" applyFill="1" applyBorder="1"/>
    <xf numFmtId="43" fontId="31" fillId="0" borderId="0" xfId="1" quotePrefix="1" applyFont="1" applyFill="1" applyBorder="1" applyAlignment="1">
      <alignment vertical="center"/>
    </xf>
    <xf numFmtId="43" fontId="31" fillId="0" borderId="0" xfId="2" applyNumberFormat="1" applyFont="1" applyFill="1" applyBorder="1" applyAlignment="1">
      <alignment vertical="center"/>
    </xf>
    <xf numFmtId="164" fontId="33" fillId="0" borderId="0" xfId="3" applyFont="1" applyFill="1" applyBorder="1" applyAlignment="1">
      <alignment vertical="center"/>
    </xf>
    <xf numFmtId="0" fontId="33" fillId="0" borderId="0" xfId="2" applyFont="1" applyFill="1" applyBorder="1" applyAlignment="1">
      <alignment vertical="center"/>
    </xf>
    <xf numFmtId="164" fontId="34" fillId="0" borderId="0" xfId="3" applyFont="1" applyFill="1" applyBorder="1" applyAlignment="1">
      <alignment vertical="center"/>
    </xf>
    <xf numFmtId="164" fontId="31" fillId="0" borderId="0" xfId="3" applyFont="1" applyFill="1" applyBorder="1" applyAlignment="1">
      <alignment horizontal="right" vertical="center"/>
    </xf>
    <xf numFmtId="164" fontId="32" fillId="0" borderId="0" xfId="3" applyFont="1" applyFill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left" vertical="center" wrapText="1"/>
    </xf>
    <xf numFmtId="0" fontId="32" fillId="0" borderId="1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/>
    </xf>
    <xf numFmtId="164" fontId="32" fillId="0" borderId="0" xfId="3" applyFont="1" applyFill="1" applyBorder="1" applyAlignment="1">
      <alignment horizontal="center" vertical="center"/>
    </xf>
    <xf numFmtId="0" fontId="31" fillId="0" borderId="1" xfId="2" applyFont="1" applyFill="1" applyBorder="1" applyAlignment="1">
      <alignment horizontal="left" vertical="center" wrapText="1"/>
    </xf>
    <xf numFmtId="164" fontId="31" fillId="0" borderId="0" xfId="3" applyFont="1" applyFill="1" applyBorder="1" applyAlignment="1">
      <alignment horizontal="center" vertical="center"/>
    </xf>
    <xf numFmtId="0" fontId="32" fillId="0" borderId="12" xfId="2" applyFont="1" applyFill="1" applyBorder="1" applyAlignment="1">
      <alignment vertical="center"/>
    </xf>
    <xf numFmtId="0" fontId="32" fillId="0" borderId="12" xfId="2" applyFont="1" applyFill="1" applyBorder="1" applyAlignment="1">
      <alignment horizontal="center" vertical="center"/>
    </xf>
    <xf numFmtId="0" fontId="32" fillId="0" borderId="12" xfId="2" applyFont="1" applyFill="1" applyBorder="1" applyAlignment="1">
      <alignment vertical="center" wrapText="1"/>
    </xf>
    <xf numFmtId="164" fontId="32" fillId="0" borderId="12" xfId="3" applyFont="1" applyFill="1" applyBorder="1" applyAlignment="1">
      <alignment horizontal="left" vertical="center"/>
    </xf>
    <xf numFmtId="164" fontId="32" fillId="0" borderId="12" xfId="3" applyFont="1" applyFill="1" applyBorder="1" applyAlignment="1">
      <alignment vertical="center"/>
    </xf>
    <xf numFmtId="164" fontId="32" fillId="0" borderId="12" xfId="3" applyFont="1" applyFill="1" applyBorder="1" applyAlignment="1">
      <alignment vertical="center" wrapText="1"/>
    </xf>
    <xf numFmtId="43" fontId="2" fillId="3" borderId="0" xfId="1" applyFont="1" applyFill="1" applyAlignment="1">
      <alignment horizontal="left"/>
    </xf>
    <xf numFmtId="43" fontId="2" fillId="2" borderId="0" xfId="1" applyFont="1" applyFill="1" applyAlignment="1">
      <alignment horizontal="left"/>
    </xf>
    <xf numFmtId="0" fontId="0" fillId="0" borderId="0" xfId="0" applyNumberFormat="1"/>
    <xf numFmtId="43" fontId="2" fillId="0" borderId="0" xfId="1" applyFont="1" applyFill="1" applyBorder="1" applyAlignment="1">
      <alignment horizontal="center"/>
    </xf>
    <xf numFmtId="43" fontId="0" fillId="0" borderId="0" xfId="1" applyFont="1" applyFill="1" applyBorder="1"/>
    <xf numFmtId="0" fontId="2" fillId="0" borderId="0" xfId="0" applyFont="1" applyFill="1" applyBorder="1" applyAlignment="1">
      <alignment horizontal="center"/>
    </xf>
    <xf numFmtId="43" fontId="0" fillId="0" borderId="0" xfId="1" applyFont="1" applyFill="1" applyBorder="1" applyAlignment="1">
      <alignment horizontal="center"/>
    </xf>
    <xf numFmtId="43" fontId="2" fillId="0" borderId="0" xfId="1" applyFont="1" applyFill="1" applyBorder="1"/>
    <xf numFmtId="0" fontId="0" fillId="0" borderId="0" xfId="0" applyFill="1" applyBorder="1"/>
    <xf numFmtId="0" fontId="2" fillId="0" borderId="0" xfId="0" applyFont="1" applyFill="1" applyBorder="1"/>
    <xf numFmtId="43" fontId="0" fillId="0" borderId="0" xfId="0" applyNumberFormat="1" applyFill="1" applyBorder="1"/>
    <xf numFmtId="0" fontId="0" fillId="0" borderId="0" xfId="0" applyFill="1" applyBorder="1" applyAlignment="1">
      <alignment wrapText="1"/>
    </xf>
    <xf numFmtId="43" fontId="36" fillId="0" borderId="0" xfId="1" applyFont="1" applyFill="1" applyBorder="1"/>
    <xf numFmtId="0" fontId="36" fillId="0" borderId="0" xfId="0" applyFont="1" applyFill="1" applyBorder="1" applyAlignment="1">
      <alignment wrapText="1"/>
    </xf>
    <xf numFmtId="0" fontId="36" fillId="0" borderId="0" xfId="0" applyFont="1" applyFill="1" applyBorder="1"/>
    <xf numFmtId="0" fontId="39" fillId="0" borderId="0" xfId="0" applyFont="1" applyFill="1" applyBorder="1"/>
    <xf numFmtId="43" fontId="2" fillId="0" borderId="0" xfId="0" applyNumberFormat="1" applyFont="1" applyFill="1" applyBorder="1" applyAlignment="1">
      <alignment horizontal="center"/>
    </xf>
    <xf numFmtId="0" fontId="0" fillId="0" borderId="0" xfId="0" quotePrefix="1" applyFill="1" applyBorder="1" applyAlignment="1">
      <alignment horizontal="right"/>
    </xf>
    <xf numFmtId="0" fontId="0" fillId="0" borderId="0" xfId="0" quotePrefix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0" xfId="0" quotePrefix="1" applyFill="1" applyBorder="1"/>
    <xf numFmtId="0" fontId="0" fillId="2" borderId="0" xfId="0" applyFill="1" applyAlignment="1">
      <alignment horizontal="left"/>
    </xf>
    <xf numFmtId="43" fontId="0" fillId="0" borderId="0" xfId="1" applyFont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3" fontId="0" fillId="0" borderId="0" xfId="1" applyFont="1" applyFill="1" applyBorder="1" applyAlignment="1">
      <alignment horizontal="center" vertical="center"/>
    </xf>
    <xf numFmtId="0" fontId="0" fillId="0" borderId="0" xfId="0" applyNumberFormat="1" applyFill="1" applyBorder="1"/>
    <xf numFmtId="0" fontId="0" fillId="0" borderId="0" xfId="1" applyNumberFormat="1" applyFont="1"/>
    <xf numFmtId="0" fontId="2" fillId="2" borderId="0" xfId="1" applyNumberFormat="1" applyFont="1" applyFill="1"/>
    <xf numFmtId="0" fontId="2" fillId="2" borderId="0" xfId="0" applyNumberFormat="1" applyFont="1" applyFill="1"/>
    <xf numFmtId="43" fontId="1" fillId="2" borderId="0" xfId="1" applyFont="1" applyFill="1"/>
    <xf numFmtId="164" fontId="11" fillId="4" borderId="0" xfId="3" applyFont="1" applyFill="1" applyBorder="1" applyAlignment="1">
      <alignment vertical="center"/>
    </xf>
    <xf numFmtId="164" fontId="41" fillId="4" borderId="0" xfId="3" applyFont="1" applyFill="1" applyBorder="1" applyAlignment="1">
      <alignment vertical="center"/>
    </xf>
    <xf numFmtId="43" fontId="2" fillId="3" borderId="0" xfId="0" applyNumberFormat="1" applyFont="1" applyFill="1" applyBorder="1"/>
    <xf numFmtId="0" fontId="0" fillId="3" borderId="0" xfId="0" applyFill="1" applyAlignment="1">
      <alignment horizontal="left"/>
    </xf>
    <xf numFmtId="43" fontId="0" fillId="3" borderId="0" xfId="0" applyNumberFormat="1" applyFill="1"/>
    <xf numFmtId="0" fontId="0" fillId="0" borderId="0" xfId="0" applyFill="1" applyBorder="1" applyAlignment="1"/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0" fillId="3" borderId="0" xfId="0" applyFill="1" applyBorder="1"/>
    <xf numFmtId="43" fontId="0" fillId="3" borderId="0" xfId="0" applyNumberFormat="1" applyFill="1" applyBorder="1"/>
    <xf numFmtId="43" fontId="0" fillId="3" borderId="0" xfId="1" applyFont="1" applyFill="1" applyBorder="1"/>
    <xf numFmtId="0" fontId="2" fillId="3" borderId="0" xfId="0" applyFont="1" applyFill="1" applyBorder="1"/>
    <xf numFmtId="43" fontId="2" fillId="3" borderId="0" xfId="1" applyFont="1" applyFill="1" applyBorder="1"/>
    <xf numFmtId="0" fontId="32" fillId="2" borderId="1" xfId="2" applyFont="1" applyFill="1" applyBorder="1" applyAlignment="1">
      <alignment horizontal="left" vertical="center" wrapText="1"/>
    </xf>
    <xf numFmtId="43" fontId="32" fillId="2" borderId="1" xfId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31" fillId="0" borderId="1" xfId="2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center" vertical="center" wrapText="1"/>
    </xf>
    <xf numFmtId="164" fontId="32" fillId="0" borderId="0" xfId="3" applyFont="1" applyFill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164" fontId="31" fillId="0" borderId="1" xfId="3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horizontal="center" vertical="center" wrapText="1"/>
    </xf>
    <xf numFmtId="0" fontId="32" fillId="0" borderId="3" xfId="2" applyFont="1" applyFill="1" applyBorder="1" applyAlignment="1">
      <alignment horizontal="center" vertical="center" wrapText="1"/>
    </xf>
    <xf numFmtId="0" fontId="32" fillId="0" borderId="7" xfId="2" applyFont="1" applyFill="1" applyBorder="1" applyAlignment="1">
      <alignment horizontal="center" vertical="center" wrapText="1"/>
    </xf>
    <xf numFmtId="0" fontId="32" fillId="0" borderId="8" xfId="2" applyFont="1" applyFill="1" applyBorder="1" applyAlignment="1">
      <alignment horizontal="center" vertical="center" wrapText="1"/>
    </xf>
    <xf numFmtId="0" fontId="32" fillId="0" borderId="9" xfId="2" applyFont="1" applyFill="1" applyBorder="1" applyAlignment="1">
      <alignment horizontal="center" vertical="center" wrapText="1"/>
    </xf>
    <xf numFmtId="0" fontId="32" fillId="0" borderId="10" xfId="2" applyFont="1" applyFill="1" applyBorder="1" applyAlignment="1">
      <alignment horizontal="center" vertical="center" wrapText="1"/>
    </xf>
    <xf numFmtId="0" fontId="31" fillId="0" borderId="4" xfId="2" applyFont="1" applyFill="1" applyBorder="1" applyAlignment="1">
      <alignment horizontal="center" vertical="center"/>
    </xf>
    <xf numFmtId="0" fontId="31" fillId="0" borderId="5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center" vertical="center"/>
    </xf>
    <xf numFmtId="0" fontId="31" fillId="0" borderId="4" xfId="2" applyFont="1" applyFill="1" applyBorder="1" applyAlignment="1">
      <alignment horizontal="left" vertical="center" wrapText="1"/>
    </xf>
    <xf numFmtId="0" fontId="31" fillId="0" borderId="5" xfId="2" applyFont="1" applyFill="1" applyBorder="1" applyAlignment="1">
      <alignment horizontal="left" vertical="center" wrapText="1"/>
    </xf>
    <xf numFmtId="0" fontId="31" fillId="0" borderId="6" xfId="2" applyFont="1" applyFill="1" applyBorder="1" applyAlignment="1">
      <alignment horizontal="left" vertical="center" wrapText="1"/>
    </xf>
    <xf numFmtId="164" fontId="31" fillId="0" borderId="11" xfId="3" applyFont="1" applyFill="1" applyBorder="1" applyAlignment="1">
      <alignment horizontal="center" vertical="center"/>
    </xf>
    <xf numFmtId="164" fontId="32" fillId="0" borderId="0" xfId="3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left" vertical="center" wrapText="1"/>
    </xf>
    <xf numFmtId="164" fontId="31" fillId="0" borderId="0" xfId="3" applyFont="1" applyFill="1" applyBorder="1" applyAlignment="1">
      <alignment horizontal="center" vertical="center"/>
    </xf>
    <xf numFmtId="17" fontId="2" fillId="3" borderId="0" xfId="1" quotePrefix="1" applyNumberFormat="1" applyFont="1" applyFill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164" fontId="3" fillId="0" borderId="1" xfId="7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/>
    </xf>
    <xf numFmtId="0" fontId="12" fillId="0" borderId="2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9" xfId="6" applyFont="1" applyFill="1" applyBorder="1" applyAlignment="1">
      <alignment horizontal="center" vertical="center" wrapText="1"/>
    </xf>
    <xf numFmtId="0" fontId="12" fillId="0" borderId="10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3" fillId="0" borderId="6" xfId="6" applyFont="1" applyFill="1" applyBorder="1" applyAlignment="1">
      <alignment horizontal="center"/>
    </xf>
    <xf numFmtId="0" fontId="16" fillId="0" borderId="0" xfId="6" applyFont="1" applyFill="1" applyAlignment="1">
      <alignment horizontal="center"/>
    </xf>
    <xf numFmtId="0" fontId="12" fillId="0" borderId="0" xfId="6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64" fontId="3" fillId="0" borderId="0" xfId="5" applyFont="1" applyFill="1" applyBorder="1" applyAlignment="1">
      <alignment horizontal="center"/>
    </xf>
    <xf numFmtId="164" fontId="27" fillId="0" borderId="11" xfId="5" applyFont="1" applyFill="1" applyBorder="1" applyAlignment="1">
      <alignment horizontal="center"/>
    </xf>
    <xf numFmtId="164" fontId="26" fillId="0" borderId="0" xfId="5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4" fontId="5" fillId="0" borderId="0" xfId="5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164" fontId="35" fillId="0" borderId="0" xfId="3" applyFont="1" applyFill="1" applyBorder="1" applyAlignment="1">
      <alignment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1" xfId="4" applyNumberFormat="1" applyFont="1" applyFill="1" applyBorder="1" applyAlignment="1">
      <alignment horizontal="center"/>
    </xf>
    <xf numFmtId="164" fontId="11" fillId="0" borderId="0" xfId="3" applyFont="1" applyFill="1" applyBorder="1" applyAlignment="1">
      <alignment vertical="center"/>
    </xf>
  </cellXfs>
  <cellStyles count="12">
    <cellStyle name="Comma" xfId="1" builtinId="3"/>
    <cellStyle name="Comma 10 2 3 2" xfId="8"/>
    <cellStyle name="Comma 19" xfId="5"/>
    <cellStyle name="Comma 20" xfId="3"/>
    <cellStyle name="Comma 4 2 2" xfId="7"/>
    <cellStyle name="Comma 5 2 2" xfId="9"/>
    <cellStyle name="Normal" xfId="0" builtinId="0"/>
    <cellStyle name="Normal 10" xfId="11"/>
    <cellStyle name="Normal 11_1. FUND 101 Financial Reports 2011" xfId="4"/>
    <cellStyle name="Normal 17 4 4 2 2 2 2" xfId="10"/>
    <cellStyle name="Normal 21" xfId="2"/>
    <cellStyle name="Normal 5 3 2 2" xfId="6"/>
  </cellStyles>
  <dxfs count="145"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35" formatCode="_-* #,##0.00_-;\-* #,##0.00_-;_-* &quot;-&quot;??_-;_-@_-"/>
    </dxf>
    <dxf>
      <numFmt numFmtId="35" formatCode="_-* #,##0.00_-;\-* #,##0.0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27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42" Type="http://schemas.openxmlformats.org/officeDocument/2006/relationships/externalLink" Target="externalLinks/externalLink30.xml"/><Relationship Id="rId47" Type="http://schemas.openxmlformats.org/officeDocument/2006/relationships/externalLink" Target="externalLinks/externalLink35.xml"/><Relationship Id="rId50" Type="http://schemas.openxmlformats.org/officeDocument/2006/relationships/pivotCacheDefinition" Target="pivotCache/pivotCacheDefinition1.xml"/><Relationship Id="rId55" Type="http://schemas.openxmlformats.org/officeDocument/2006/relationships/pivotCacheDefinition" Target="pivotCache/pivotCacheDefinition6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7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externalLink" Target="externalLinks/externalLink25.xml"/><Relationship Id="rId40" Type="http://schemas.openxmlformats.org/officeDocument/2006/relationships/externalLink" Target="externalLinks/externalLink28.xml"/><Relationship Id="rId45" Type="http://schemas.openxmlformats.org/officeDocument/2006/relationships/externalLink" Target="externalLinks/externalLink33.xml"/><Relationship Id="rId53" Type="http://schemas.openxmlformats.org/officeDocument/2006/relationships/pivotCacheDefinition" Target="pivotCache/pivotCacheDefinition4.xml"/><Relationship Id="rId58" Type="http://schemas.openxmlformats.org/officeDocument/2006/relationships/pivotCacheDefinition" Target="pivotCache/pivotCacheDefinition9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43" Type="http://schemas.openxmlformats.org/officeDocument/2006/relationships/externalLink" Target="externalLinks/externalLink31.xml"/><Relationship Id="rId48" Type="http://schemas.openxmlformats.org/officeDocument/2006/relationships/externalLink" Target="externalLinks/externalLink36.xml"/><Relationship Id="rId56" Type="http://schemas.openxmlformats.org/officeDocument/2006/relationships/pivotCacheDefinition" Target="pivotCache/pivotCacheDefinition7.xml"/><Relationship Id="rId64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externalLink" Target="externalLinks/externalLink26.xml"/><Relationship Id="rId46" Type="http://schemas.openxmlformats.org/officeDocument/2006/relationships/externalLink" Target="externalLinks/externalLink34.xml"/><Relationship Id="rId59" Type="http://schemas.openxmlformats.org/officeDocument/2006/relationships/pivotCacheDefinition" Target="pivotCache/pivotCacheDefinition10.xml"/><Relationship Id="rId20" Type="http://schemas.openxmlformats.org/officeDocument/2006/relationships/externalLink" Target="externalLinks/externalLink8.xml"/><Relationship Id="rId41" Type="http://schemas.openxmlformats.org/officeDocument/2006/relationships/externalLink" Target="externalLinks/externalLink29.xml"/><Relationship Id="rId54" Type="http://schemas.openxmlformats.org/officeDocument/2006/relationships/pivotCacheDefinition" Target="pivotCache/pivotCacheDefinition5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externalLink" Target="externalLinks/externalLink24.xml"/><Relationship Id="rId49" Type="http://schemas.openxmlformats.org/officeDocument/2006/relationships/externalLink" Target="externalLinks/externalLink37.xml"/><Relationship Id="rId57" Type="http://schemas.openxmlformats.org/officeDocument/2006/relationships/pivotCacheDefinition" Target="pivotCache/pivotCacheDefinition8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9.xml"/><Relationship Id="rId44" Type="http://schemas.openxmlformats.org/officeDocument/2006/relationships/externalLink" Target="externalLinks/externalLink32.xml"/><Relationship Id="rId52" Type="http://schemas.openxmlformats.org/officeDocument/2006/relationships/pivotCacheDefinition" Target="pivotCache/pivotCacheDefinition3.xml"/><Relationship Id="rId60" Type="http://schemas.openxmlformats.org/officeDocument/2006/relationships/pivotCacheDefinition" Target="pivotCache/pivotCacheDefinition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.10-MITHI-L076\Desktop\NB%20FA%20II%20FILES\KC%20NCDDP\FA%20III%20SOE\CURRENT%20FOR%20FAR%201C%20FO-X%20RFR%20Tracker%20-%20KCNCDDP%20Extension%20BY%202020%20(1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1January%202023/1JANUARY%202023%20CHECK%20DJ-F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2February%202023/2FEBRUARY%202023%20CHECK%20DJ%20rev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3March%202023/MARCH%202023%20CHECK%20DJ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1%20January%202023/JEV%20-%20January%202023%20-FC1,FC4,FC6%20&amp;%20FC7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JVL/4%20APRIL%202023/JEV/JEV%20nos.%202023-04-1717to173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JVL/4%20APRIL%202023/JEV/JEV%20nos.%202023-04-1734to1760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KYRA/4%20APRIL%202023/4.%20APRIL%20202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3March%202023/JEV%20-%20March%202023%20-FC1,FC4,FC6%20&amp;%20FC7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2February%202023/JEV%20-%20Febuary%202023%20-FC1,FC4,FC6%20&amp;%20FC7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4%20APRIL%202023/4.1%20APRIL%202023%20WORKING%20TB%20FC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SWD\Desktop\MARS2020\FC-2%20Dec.%202019\Chk%20Dj%204th%20Qtr\Check%20DJ%20DEC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10%20OCTOBER%202023/JEV%20-%20OCTOBER%202023%20-FC1,FC3,FC4,FC6%20&amp;%20FC7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CONSOLIDATED%20FS%202023/12.2%20DECEMBER%202023%20CONSOLIDATED%20COMPARATIVE%20TB%20&amp;%20FS%202023%20with%20RESTATED%20FS%202022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TRIAL%20BALANCE/3.1%20MARCH%202024%20Fund%20Cluster%201%20TB%20&amp;%20FS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WTB%202024/2%20FEBRUARY%20WTB%202024/2%20FEBRUARY%202024%20WORKING%20TB%20FC%201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FINANCIAL%20STATEMENTS%202024/RESTATEMENT%20OF%202023%20FINANCIAL%20STATEMENTS/FOR%20POST%20TB%20ONLY/3%20MARCH%202024%20WORKING%20TB%20FC%201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WTB%20AND%20JEV%202024/JEV%202024/3%20JEV%20-%20MARCH%202024%20-FC1,FC3,%20&amp;%20FC7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ION%20-%20INVENTORIES%20(KYRA%20REPORTS)%202024/2%20FEBRUARY%202024/2.%20February%202024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%20-%20SEMI%20EXPENDABLES%20(GENNY%20REPORTS)%202024/2%20FEBRUARY%202024/JEV%20February%202024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%20-%20WELFARE%20GOODS%20(OMAE%20REPORTS)%202024/2%20FEBRUARY%202024/02.%20FEBRUARY%202024%20-%20WG%20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-SF%20&amp;%20BANGUN%20(EVELYN%20REPORTS)%202024/2%20FEBRUARY%202024/JEV-2023-SFP-12th%20Cycle%20-Februa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ownloads\MARS2020\FC-2%20Dec.%202019\Chk%20Dj%204th%20Qtr\Check%20DJ%20DEC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4%20FINANCIAL%20REPORTS/LIQUIDATION-SF%20&amp;%20BANGUN%20(EVELYN%20REPORTS)%202024/2%20FEBRUARY%202024/JEV-2023-SFP-13th%20Cycle-February%202024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esktop\FS2022\Final\12.2%20DECEMBER%202022%20Fund%20Cluster%202%20TB%20&amp;%20Comparative%20Restated%20FS%202021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TRIAL%20BALANCE/3.3%20MARCH%202024%20Fund%20Cluster%203%20TB%20&amp;%20FS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LANI/FS.12.DEC%202020/Trial%20Balance/TB%20and%20FS/12.4%20DEC%202020%20Fund%20Cluster%204%20TB%20and%20Comparative%20FS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TB%20&amp;%20FS%202023/12.4%20DECEMBER%202023%20Fund%20Cluster%204%20COMPARATIVE%20TB%20&amp;%20FS%202023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TB%20&amp;%20FS%202023/12.6%20DECEMBER%202023%20Fund%20Cluster%206%20COMPARATIVE%20TB%20&amp;%20FS%202023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TRIAL%20BALANCE/3.7%20MARCH%202024%20Fund%20Cluster%207%20TB%20&amp;%20FS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3March%202023/3.7%20March%202023%20Working%20TB%20FC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ownloads\12E%20FO%20X%20102%20WB,%20GOP,%20WB-AF%20&amp;%20GOP-AF%20Consolidated%20FS_December%2031,%20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RESTATEMENTS%20OF%20FS%202021/4TH%20QUARTER%202022/3.1%20RESTATEMENT%20OF%20FS%20&amp;%20TB%20FUND%20CLUSTER%201%20FOR%204th%20QUARTER%20202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FINANCIAL%20STATEMENTS%202022/12%20DECEMBER%202022%20FS/Other%20Quarterly%20Reports/Breakdown%20of%20Accumulated%20Surplus-Deficit%204th%20Quarter%202022%20(FC%201,%204,%206%20&amp;%207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1January%202023/1.%20JANUARY%2031,%202023-GOP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2February%202023/2.%20FEBRUARY%2028,%202023.xlsb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3March%202023/3.%20MARCH%2031,%20202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EW REPORT CHECKLIST"/>
      <sheetName val="BY 2020"/>
      <sheetName val="SPI Masterlist as of September "/>
      <sheetName val="Location Summary"/>
      <sheetName val="Reference"/>
      <sheetName val="Sheet2"/>
      <sheetName val="MGA"/>
      <sheetName val="Sheet33"/>
      <sheetName val="RFR WITH DVS CODE"/>
      <sheetName val="Sheet7"/>
      <sheetName val="Sheet10"/>
      <sheetName val="Sheet13"/>
      <sheetName val="Sheet14"/>
      <sheetName val="Sheet15"/>
      <sheetName val="DBASE.DISB GOP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A2" t="str">
            <v>ADB</v>
          </cell>
          <cell r="B2">
            <v>177</v>
          </cell>
          <cell r="C2" t="str">
            <v>Bukidnon</v>
          </cell>
          <cell r="D2" t="str">
            <v>Malitbog</v>
          </cell>
          <cell r="E2" t="str">
            <v>Y</v>
          </cell>
          <cell r="F2" t="str">
            <v>1st</v>
          </cell>
          <cell r="G2">
            <v>1</v>
          </cell>
          <cell r="H2">
            <v>2014</v>
          </cell>
          <cell r="I2" t="str">
            <v>Disbursed</v>
          </cell>
          <cell r="J2" t="str">
            <v>ACT</v>
          </cell>
        </row>
        <row r="3">
          <cell r="A3" t="str">
            <v>WB</v>
          </cell>
          <cell r="B3">
            <v>293</v>
          </cell>
          <cell r="C3" t="str">
            <v>Camiguin</v>
          </cell>
          <cell r="D3" t="str">
            <v>Catarman</v>
          </cell>
          <cell r="E3" t="str">
            <v>N</v>
          </cell>
          <cell r="F3" t="str">
            <v>2nd</v>
          </cell>
          <cell r="G3">
            <v>2</v>
          </cell>
          <cell r="H3">
            <v>2015</v>
          </cell>
          <cell r="I3" t="str">
            <v>RFR waiting for compliance-ACT</v>
          </cell>
          <cell r="J3" t="str">
            <v>CDO III</v>
          </cell>
        </row>
        <row r="4">
          <cell r="B4">
            <v>377</v>
          </cell>
          <cell r="C4" t="str">
            <v>Lanao del Norte</v>
          </cell>
          <cell r="D4" t="str">
            <v>Guinsiliban</v>
          </cell>
          <cell r="F4" t="str">
            <v>Final</v>
          </cell>
          <cell r="G4">
            <v>3</v>
          </cell>
          <cell r="H4">
            <v>2016</v>
          </cell>
          <cell r="I4" t="str">
            <v>RFR waiting for compliance-SRPMO</v>
          </cell>
          <cell r="J4" t="str">
            <v>CIO III</v>
          </cell>
        </row>
        <row r="5">
          <cell r="C5" t="str">
            <v>Misamis Occidental</v>
          </cell>
          <cell r="D5" t="str">
            <v>Mahinog</v>
          </cell>
          <cell r="F5" t="str">
            <v>TAF</v>
          </cell>
          <cell r="G5">
            <v>4</v>
          </cell>
          <cell r="H5">
            <v>2017</v>
          </cell>
          <cell r="I5" t="str">
            <v>RFR waiting for compliance-RPMO</v>
          </cell>
          <cell r="J5" t="str">
            <v>CPO III</v>
          </cell>
        </row>
        <row r="6">
          <cell r="C6" t="str">
            <v>Misamis Oriental</v>
          </cell>
          <cell r="D6" t="str">
            <v>Mambajao</v>
          </cell>
          <cell r="H6">
            <v>2018</v>
          </cell>
          <cell r="I6" t="str">
            <v>RFR waiting for Liquidation Certificate</v>
          </cell>
          <cell r="J6" t="str">
            <v>FA II</v>
          </cell>
        </row>
        <row r="7">
          <cell r="D7" t="str">
            <v>Sagay</v>
          </cell>
          <cell r="H7">
            <v>2019</v>
          </cell>
          <cell r="I7" t="str">
            <v>RFR for DV,OBRs &amp; RPC Signature</v>
          </cell>
          <cell r="J7" t="str">
            <v>FA III</v>
          </cell>
        </row>
        <row r="8">
          <cell r="D8" t="str">
            <v>Kapatagan</v>
          </cell>
          <cell r="I8" t="str">
            <v>No RFR</v>
          </cell>
          <cell r="J8" t="str">
            <v>RCDS</v>
          </cell>
        </row>
        <row r="9">
          <cell r="D9" t="str">
            <v>Kauswagan</v>
          </cell>
          <cell r="I9" t="str">
            <v>RFR Ready for Download but Waiting for Cash from CO</v>
          </cell>
          <cell r="J9" t="str">
            <v>RCIS</v>
          </cell>
        </row>
        <row r="10">
          <cell r="D10" t="str">
            <v>Kolambugan</v>
          </cell>
          <cell r="I10" t="str">
            <v>RFR Subject to NOL(RPMO)</v>
          </cell>
          <cell r="J10" t="str">
            <v>RFA</v>
          </cell>
        </row>
        <row r="11">
          <cell r="D11" t="str">
            <v>Lala</v>
          </cell>
          <cell r="I11" t="str">
            <v>RFR Subject to NOL(NPMO)</v>
          </cell>
          <cell r="J11" t="str">
            <v>RIA</v>
          </cell>
        </row>
        <row r="12">
          <cell r="D12" t="str">
            <v>Magsaysay</v>
          </cell>
          <cell r="I12" t="str">
            <v>MPA/SPA for RPC/RD/ARDO signature</v>
          </cell>
          <cell r="J12" t="str">
            <v>RPC</v>
          </cell>
        </row>
        <row r="13">
          <cell r="D13" t="str">
            <v>Matungao</v>
          </cell>
          <cell r="I13" t="str">
            <v>ERFR slip for RPC/RD/ARDO signature</v>
          </cell>
          <cell r="J13" t="str">
            <v>RPD</v>
          </cell>
        </row>
        <row r="14">
          <cell r="D14" t="str">
            <v>Poona Piagapo</v>
          </cell>
          <cell r="I14" t="str">
            <v>RFR/DV for RD/ARDO signature</v>
          </cell>
          <cell r="J14" t="str">
            <v>SRPC</v>
          </cell>
        </row>
        <row r="15">
          <cell r="D15" t="str">
            <v>Tagoloan</v>
          </cell>
          <cell r="I15" t="str">
            <v>For ADA signature</v>
          </cell>
          <cell r="J15" t="str">
            <v>Accounting</v>
          </cell>
        </row>
        <row r="16">
          <cell r="D16" t="str">
            <v>Tangcal</v>
          </cell>
          <cell r="I16" t="str">
            <v>ADA FORWARDED TO LBP FOR DOWNLOAD</v>
          </cell>
          <cell r="J16" t="str">
            <v>Budget</v>
          </cell>
        </row>
        <row r="17">
          <cell r="D17" t="str">
            <v>Bonifacio</v>
          </cell>
          <cell r="I17" t="str">
            <v>For AO V Signature</v>
          </cell>
          <cell r="J17" t="str">
            <v>Cash</v>
          </cell>
        </row>
        <row r="18">
          <cell r="D18" t="str">
            <v>Calamba</v>
          </cell>
          <cell r="I18" t="str">
            <v>RFR For FA-3 Accounting review</v>
          </cell>
          <cell r="J18" t="str">
            <v>RPMO</v>
          </cell>
        </row>
        <row r="19">
          <cell r="D19" t="str">
            <v>Panaon</v>
          </cell>
          <cell r="I19" t="str">
            <v>RFR for Review</v>
          </cell>
          <cell r="J19" t="str">
            <v>SRPMO</v>
          </cell>
        </row>
        <row r="20">
          <cell r="D20" t="str">
            <v>Sinacaban</v>
          </cell>
          <cell r="I20" t="str">
            <v>RFR waiting for Liquidation Certificate</v>
          </cell>
          <cell r="J20" t="str">
            <v>ARDO</v>
          </cell>
        </row>
        <row r="21">
          <cell r="D21" t="str">
            <v>Baungon</v>
          </cell>
          <cell r="J21" t="str">
            <v>NPMO</v>
          </cell>
        </row>
        <row r="22">
          <cell r="D22" t="str">
            <v>Cabanglasan</v>
          </cell>
          <cell r="I22">
            <v>0</v>
          </cell>
          <cell r="J22">
            <v>0</v>
          </cell>
        </row>
        <row r="23">
          <cell r="D23" t="str">
            <v>Damulog</v>
          </cell>
          <cell r="I23">
            <v>0</v>
          </cell>
        </row>
        <row r="24">
          <cell r="D24" t="str">
            <v>Don Carlos</v>
          </cell>
          <cell r="I24">
            <v>0</v>
          </cell>
        </row>
        <row r="25">
          <cell r="D25" t="str">
            <v>Impasug-Ong</v>
          </cell>
          <cell r="I25">
            <v>0</v>
          </cell>
        </row>
        <row r="26">
          <cell r="D26" t="str">
            <v>Kadingilan</v>
          </cell>
          <cell r="I26">
            <v>0</v>
          </cell>
        </row>
        <row r="27">
          <cell r="D27" t="str">
            <v>Kalilangan</v>
          </cell>
          <cell r="I27">
            <v>0</v>
          </cell>
        </row>
        <row r="28">
          <cell r="D28" t="str">
            <v>Kibawe</v>
          </cell>
          <cell r="I28">
            <v>0</v>
          </cell>
        </row>
        <row r="29">
          <cell r="D29" t="str">
            <v>Kitaotao</v>
          </cell>
          <cell r="I29">
            <v>0</v>
          </cell>
        </row>
        <row r="30">
          <cell r="D30" t="str">
            <v>Pangantucan</v>
          </cell>
          <cell r="I30">
            <v>0</v>
          </cell>
        </row>
        <row r="31">
          <cell r="D31" t="str">
            <v>Quezon</v>
          </cell>
          <cell r="I31">
            <v>0</v>
          </cell>
        </row>
        <row r="32">
          <cell r="D32" t="str">
            <v>San Fernando</v>
          </cell>
          <cell r="I32">
            <v>0</v>
          </cell>
        </row>
        <row r="33">
          <cell r="D33" t="str">
            <v>Sumilao</v>
          </cell>
          <cell r="I33">
            <v>0</v>
          </cell>
        </row>
        <row r="34">
          <cell r="D34" t="str">
            <v>Talakag</v>
          </cell>
          <cell r="I34">
            <v>0</v>
          </cell>
        </row>
        <row r="35">
          <cell r="D35" t="str">
            <v>Bacolod</v>
          </cell>
          <cell r="I35">
            <v>0</v>
          </cell>
        </row>
        <row r="36">
          <cell r="D36" t="str">
            <v>Baloi</v>
          </cell>
          <cell r="I36">
            <v>0</v>
          </cell>
        </row>
        <row r="37">
          <cell r="D37" t="str">
            <v>Baroy</v>
          </cell>
          <cell r="I37">
            <v>0</v>
          </cell>
        </row>
        <row r="38">
          <cell r="D38" t="str">
            <v>Linamon</v>
          </cell>
          <cell r="I38">
            <v>0</v>
          </cell>
        </row>
        <row r="39">
          <cell r="D39" t="str">
            <v>Maigo</v>
          </cell>
          <cell r="I39">
            <v>0</v>
          </cell>
        </row>
        <row r="40">
          <cell r="D40" t="str">
            <v>Nunungan</v>
          </cell>
          <cell r="I40">
            <v>0</v>
          </cell>
        </row>
        <row r="41">
          <cell r="D41" t="str">
            <v>Pantar</v>
          </cell>
          <cell r="I41">
            <v>0</v>
          </cell>
        </row>
        <row r="42">
          <cell r="D42" t="str">
            <v>Salvador</v>
          </cell>
          <cell r="I42">
            <v>0</v>
          </cell>
        </row>
        <row r="43">
          <cell r="D43" t="str">
            <v>Sapad</v>
          </cell>
          <cell r="I43">
            <v>0</v>
          </cell>
        </row>
        <row r="44">
          <cell r="D44" t="str">
            <v>Sultan Naga Dimaporo (Karomatan)</v>
          </cell>
          <cell r="I44">
            <v>0</v>
          </cell>
        </row>
        <row r="45">
          <cell r="D45" t="str">
            <v>Tubod (Capital)</v>
          </cell>
          <cell r="I45">
            <v>0</v>
          </cell>
        </row>
        <row r="46">
          <cell r="D46" t="str">
            <v>Aloran</v>
          </cell>
          <cell r="I46">
            <v>0</v>
          </cell>
        </row>
        <row r="47">
          <cell r="D47" t="str">
            <v>Baliangao</v>
          </cell>
          <cell r="I47">
            <v>0</v>
          </cell>
        </row>
        <row r="48">
          <cell r="D48" t="str">
            <v>Clarin</v>
          </cell>
          <cell r="I48">
            <v>0</v>
          </cell>
        </row>
        <row r="49">
          <cell r="D49" t="str">
            <v>Concepcion</v>
          </cell>
          <cell r="I49">
            <v>0</v>
          </cell>
        </row>
        <row r="50">
          <cell r="D50" t="str">
            <v>Don Victoriano Chiongbian (Don Mariano Marcos)</v>
          </cell>
          <cell r="I50">
            <v>0</v>
          </cell>
        </row>
        <row r="51">
          <cell r="D51" t="str">
            <v>Lopez Jaena</v>
          </cell>
          <cell r="I51">
            <v>0</v>
          </cell>
        </row>
        <row r="52">
          <cell r="D52" t="str">
            <v>Sapang Dalaga</v>
          </cell>
          <cell r="I52">
            <v>0</v>
          </cell>
        </row>
        <row r="53">
          <cell r="D53" t="str">
            <v>Tudela</v>
          </cell>
          <cell r="I53">
            <v>0</v>
          </cell>
        </row>
        <row r="54">
          <cell r="D54" t="str">
            <v>Alubijid</v>
          </cell>
          <cell r="I54">
            <v>0</v>
          </cell>
        </row>
        <row r="55">
          <cell r="D55" t="str">
            <v>Balingasag</v>
          </cell>
          <cell r="I55">
            <v>0</v>
          </cell>
        </row>
        <row r="56">
          <cell r="D56" t="str">
            <v>Balingoan</v>
          </cell>
          <cell r="I56">
            <v>0</v>
          </cell>
        </row>
        <row r="57">
          <cell r="D57" t="str">
            <v>Binuangan</v>
          </cell>
          <cell r="I57">
            <v>0</v>
          </cell>
        </row>
        <row r="58">
          <cell r="D58" t="str">
            <v>Claveria</v>
          </cell>
          <cell r="I58">
            <v>0</v>
          </cell>
        </row>
        <row r="59">
          <cell r="D59" t="str">
            <v>Gitagum</v>
          </cell>
          <cell r="I59">
            <v>0</v>
          </cell>
        </row>
        <row r="60">
          <cell r="D60" t="str">
            <v>Initao</v>
          </cell>
          <cell r="I60">
            <v>0</v>
          </cell>
        </row>
        <row r="61">
          <cell r="D61" t="str">
            <v>Jasaan</v>
          </cell>
          <cell r="I61">
            <v>0</v>
          </cell>
        </row>
        <row r="62">
          <cell r="D62" t="str">
            <v>Kinoguitan</v>
          </cell>
          <cell r="I62">
            <v>0</v>
          </cell>
        </row>
        <row r="63">
          <cell r="D63" t="str">
            <v>Lagonglong</v>
          </cell>
          <cell r="I63">
            <v>0</v>
          </cell>
        </row>
        <row r="64">
          <cell r="D64" t="str">
            <v>Laguindingan</v>
          </cell>
          <cell r="I64">
            <v>0</v>
          </cell>
        </row>
        <row r="65">
          <cell r="D65" t="str">
            <v>Libertad</v>
          </cell>
          <cell r="I65">
            <v>0</v>
          </cell>
        </row>
        <row r="66">
          <cell r="D66" t="str">
            <v>Magsaysay (Linugos)</v>
          </cell>
          <cell r="I66">
            <v>0</v>
          </cell>
        </row>
        <row r="67">
          <cell r="D67" t="str">
            <v>Manticao</v>
          </cell>
          <cell r="I67">
            <v>0</v>
          </cell>
        </row>
        <row r="68">
          <cell r="D68" t="str">
            <v>Medina</v>
          </cell>
          <cell r="I68">
            <v>0</v>
          </cell>
        </row>
        <row r="69">
          <cell r="D69" t="str">
            <v>Naawan</v>
          </cell>
          <cell r="I69">
            <v>0</v>
          </cell>
        </row>
        <row r="70">
          <cell r="D70" t="str">
            <v>Salay</v>
          </cell>
          <cell r="I70">
            <v>0</v>
          </cell>
        </row>
        <row r="71">
          <cell r="D71" t="str">
            <v>Sugbongcogon</v>
          </cell>
          <cell r="I71">
            <v>0</v>
          </cell>
        </row>
        <row r="72">
          <cell r="D72" t="str">
            <v>Pantao Ragat</v>
          </cell>
          <cell r="I72">
            <v>0</v>
          </cell>
        </row>
        <row r="73">
          <cell r="D73" t="str">
            <v>Talisayan</v>
          </cell>
          <cell r="I73">
            <v>0</v>
          </cell>
        </row>
        <row r="74">
          <cell r="I74">
            <v>0</v>
          </cell>
        </row>
        <row r="75">
          <cell r="I75">
            <v>0</v>
          </cell>
        </row>
        <row r="76">
          <cell r="I76">
            <v>0</v>
          </cell>
        </row>
        <row r="77">
          <cell r="I77">
            <v>0</v>
          </cell>
        </row>
        <row r="78">
          <cell r="I78">
            <v>0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0</v>
          </cell>
        </row>
        <row r="82">
          <cell r="I82">
            <v>0</v>
          </cell>
        </row>
        <row r="83">
          <cell r="I83">
            <v>0</v>
          </cell>
        </row>
        <row r="84">
          <cell r="I84">
            <v>0</v>
          </cell>
        </row>
        <row r="85">
          <cell r="I85">
            <v>0</v>
          </cell>
        </row>
        <row r="86">
          <cell r="I86">
            <v>0</v>
          </cell>
        </row>
        <row r="87">
          <cell r="I87">
            <v>0</v>
          </cell>
        </row>
        <row r="88">
          <cell r="I88">
            <v>0</v>
          </cell>
        </row>
        <row r="89">
          <cell r="I89">
            <v>0</v>
          </cell>
        </row>
        <row r="90">
          <cell r="I90">
            <v>0</v>
          </cell>
        </row>
        <row r="91">
          <cell r="I91">
            <v>0</v>
          </cell>
        </row>
        <row r="92">
          <cell r="I92">
            <v>0</v>
          </cell>
        </row>
        <row r="93">
          <cell r="I93">
            <v>0</v>
          </cell>
        </row>
        <row r="94">
          <cell r="I94">
            <v>0</v>
          </cell>
        </row>
        <row r="95">
          <cell r="I95">
            <v>0</v>
          </cell>
        </row>
        <row r="96">
          <cell r="I96">
            <v>0</v>
          </cell>
        </row>
        <row r="97">
          <cell r="I97">
            <v>0</v>
          </cell>
        </row>
        <row r="98">
          <cell r="I98">
            <v>0</v>
          </cell>
        </row>
        <row r="99">
          <cell r="I99">
            <v>0</v>
          </cell>
        </row>
        <row r="100">
          <cell r="I100">
            <v>0</v>
          </cell>
        </row>
        <row r="101">
          <cell r="I101">
            <v>0</v>
          </cell>
        </row>
        <row r="102">
          <cell r="I102">
            <v>0</v>
          </cell>
        </row>
        <row r="103">
          <cell r="I103">
            <v>0</v>
          </cell>
        </row>
        <row r="104">
          <cell r="I104">
            <v>0</v>
          </cell>
        </row>
        <row r="105">
          <cell r="I105">
            <v>0</v>
          </cell>
        </row>
        <row r="106">
          <cell r="I106">
            <v>0</v>
          </cell>
        </row>
        <row r="107">
          <cell r="I107">
            <v>0</v>
          </cell>
        </row>
        <row r="108">
          <cell r="I108">
            <v>0</v>
          </cell>
        </row>
        <row r="109">
          <cell r="I109">
            <v>0</v>
          </cell>
        </row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Y 2023"/>
      <sheetName val="CONTROL"/>
      <sheetName val="SCF REF"/>
      <sheetName val="Sheet1"/>
    </sheetNames>
    <sheetDataSet>
      <sheetData sheetId="0" refreshError="1">
        <row r="135">
          <cell r="EL135">
            <v>24118.87</v>
          </cell>
        </row>
        <row r="168">
          <cell r="EL168">
            <v>15112.16</v>
          </cell>
        </row>
        <row r="221">
          <cell r="EL221">
            <v>13243.5</v>
          </cell>
        </row>
        <row r="227">
          <cell r="EL227">
            <v>6281.75</v>
          </cell>
        </row>
        <row r="228">
          <cell r="EL228">
            <v>1840.4</v>
          </cell>
        </row>
        <row r="229">
          <cell r="EL229">
            <v>3967.65</v>
          </cell>
        </row>
        <row r="237">
          <cell r="EL237">
            <v>1796.04</v>
          </cell>
        </row>
        <row r="240">
          <cell r="EL240">
            <v>1417.38</v>
          </cell>
        </row>
        <row r="241">
          <cell r="EL241">
            <v>553.21</v>
          </cell>
        </row>
        <row r="242">
          <cell r="EL242">
            <v>4959.09</v>
          </cell>
        </row>
        <row r="319">
          <cell r="EL319">
            <v>4882.43</v>
          </cell>
        </row>
        <row r="321">
          <cell r="EL321">
            <v>995.78</v>
          </cell>
        </row>
        <row r="324">
          <cell r="EL324">
            <v>6725.3</v>
          </cell>
        </row>
        <row r="325">
          <cell r="EL325">
            <v>2107.64</v>
          </cell>
        </row>
        <row r="326">
          <cell r="EL326">
            <v>685.76</v>
          </cell>
        </row>
        <row r="327">
          <cell r="EL327">
            <v>713.45</v>
          </cell>
        </row>
        <row r="442">
          <cell r="EL442">
            <v>701.94</v>
          </cell>
        </row>
        <row r="444">
          <cell r="EL444">
            <v>379.96</v>
          </cell>
        </row>
        <row r="446">
          <cell r="EL446">
            <v>701.94</v>
          </cell>
        </row>
        <row r="448">
          <cell r="EL448">
            <v>1399.26</v>
          </cell>
        </row>
        <row r="450">
          <cell r="EL450">
            <v>379.96</v>
          </cell>
        </row>
        <row r="588">
          <cell r="EL588">
            <v>14054.18</v>
          </cell>
        </row>
        <row r="589">
          <cell r="EL589">
            <v>2324.84</v>
          </cell>
        </row>
        <row r="590">
          <cell r="EL590">
            <v>4100</v>
          </cell>
        </row>
        <row r="591">
          <cell r="EL591">
            <v>998</v>
          </cell>
        </row>
        <row r="592">
          <cell r="EL592">
            <v>5136.5</v>
          </cell>
        </row>
        <row r="598">
          <cell r="EL598">
            <v>48338.400000000001</v>
          </cell>
        </row>
        <row r="599">
          <cell r="EL599">
            <v>7297</v>
          </cell>
        </row>
        <row r="600">
          <cell r="EL600">
            <v>19765.72</v>
          </cell>
        </row>
        <row r="601">
          <cell r="EL601">
            <v>2541.5</v>
          </cell>
        </row>
        <row r="602">
          <cell r="EL602">
            <v>6000</v>
          </cell>
        </row>
        <row r="603">
          <cell r="EL603">
            <v>3429.18</v>
          </cell>
        </row>
        <row r="604">
          <cell r="EL604">
            <v>13072.03</v>
          </cell>
        </row>
        <row r="605">
          <cell r="EL605">
            <v>9855</v>
          </cell>
        </row>
        <row r="606">
          <cell r="EL606">
            <v>14815.82</v>
          </cell>
        </row>
        <row r="623">
          <cell r="AU623">
            <v>8840.6000000000022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 2023 SORT"/>
      <sheetName val="FEBRUARY 2023"/>
      <sheetName val="FEBRUARY 2023 SORT REV"/>
      <sheetName val="Sheet2"/>
      <sheetName val="CONTROL"/>
      <sheetName val="SCF REF"/>
      <sheetName val="Sheet1"/>
    </sheetNames>
    <sheetDataSet>
      <sheetData sheetId="0"/>
      <sheetData sheetId="1"/>
      <sheetData sheetId="2">
        <row r="5">
          <cell r="EL5">
            <v>1851.92</v>
          </cell>
        </row>
        <row r="74">
          <cell r="EL74">
            <v>555584.80000000005</v>
          </cell>
        </row>
        <row r="75">
          <cell r="EL75">
            <v>63165.2</v>
          </cell>
        </row>
        <row r="96">
          <cell r="EL96">
            <v>1259.3399999999999</v>
          </cell>
        </row>
        <row r="97">
          <cell r="EL97">
            <v>47926.94</v>
          </cell>
        </row>
        <row r="139">
          <cell r="EL139">
            <v>9806.25</v>
          </cell>
        </row>
        <row r="140">
          <cell r="EL140">
            <v>1700.8</v>
          </cell>
        </row>
        <row r="141">
          <cell r="EL141">
            <v>10000</v>
          </cell>
        </row>
        <row r="142">
          <cell r="EL142">
            <v>5000</v>
          </cell>
        </row>
        <row r="146">
          <cell r="EL146">
            <v>9889.65</v>
          </cell>
        </row>
        <row r="159">
          <cell r="EL159">
            <v>55415.31</v>
          </cell>
        </row>
        <row r="160">
          <cell r="EL160">
            <v>919.22</v>
          </cell>
        </row>
        <row r="203">
          <cell r="EL203">
            <v>4450</v>
          </cell>
        </row>
        <row r="204">
          <cell r="EL204">
            <v>3600</v>
          </cell>
        </row>
        <row r="205">
          <cell r="EL205">
            <v>3600</v>
          </cell>
        </row>
        <row r="206">
          <cell r="EL206">
            <v>2700</v>
          </cell>
        </row>
        <row r="207">
          <cell r="EL207">
            <v>6463.94</v>
          </cell>
        </row>
        <row r="208">
          <cell r="EL208">
            <v>1060.3900000000001</v>
          </cell>
        </row>
        <row r="232">
          <cell r="EL232">
            <v>8062.91</v>
          </cell>
        </row>
        <row r="233">
          <cell r="EL233">
            <v>3732.13</v>
          </cell>
        </row>
        <row r="445">
          <cell r="EL445">
            <v>133085.07</v>
          </cell>
        </row>
        <row r="456">
          <cell r="EL456">
            <v>95251</v>
          </cell>
        </row>
        <row r="504">
          <cell r="EL504">
            <v>56100</v>
          </cell>
        </row>
        <row r="505">
          <cell r="EL505">
            <v>18660</v>
          </cell>
        </row>
        <row r="602">
          <cell r="EL602">
            <v>27904</v>
          </cell>
        </row>
        <row r="610">
          <cell r="EL610">
            <v>11016</v>
          </cell>
        </row>
        <row r="624">
          <cell r="EL624">
            <v>3100</v>
          </cell>
        </row>
        <row r="686">
          <cell r="EL686">
            <v>420000</v>
          </cell>
        </row>
        <row r="687">
          <cell r="EL687">
            <v>290000</v>
          </cell>
        </row>
        <row r="718">
          <cell r="EL718">
            <v>656500</v>
          </cell>
        </row>
        <row r="745">
          <cell r="EL745">
            <v>5584.72</v>
          </cell>
        </row>
        <row r="746">
          <cell r="EL746">
            <v>1650</v>
          </cell>
        </row>
        <row r="747">
          <cell r="EL747">
            <v>850</v>
          </cell>
        </row>
        <row r="748">
          <cell r="EL748">
            <v>725</v>
          </cell>
        </row>
        <row r="768">
          <cell r="EL768">
            <v>43948.639999999999</v>
          </cell>
        </row>
        <row r="784">
          <cell r="EL784">
            <v>408.04</v>
          </cell>
        </row>
        <row r="786">
          <cell r="EL786">
            <v>408.04</v>
          </cell>
        </row>
        <row r="796">
          <cell r="EL796">
            <v>4800</v>
          </cell>
        </row>
        <row r="797">
          <cell r="EL797">
            <v>2400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CH 2023 sorted per acct"/>
      <sheetName val="MARCH 2023 arranged per ADA"/>
      <sheetName val="CONTROL"/>
      <sheetName val="SCF REF"/>
      <sheetName val="Sheet1"/>
    </sheetNames>
    <sheetDataSet>
      <sheetData sheetId="0" refreshError="1"/>
      <sheetData sheetId="1" refreshError="1">
        <row r="258">
          <cell r="AV258">
            <v>179.68</v>
          </cell>
        </row>
        <row r="282">
          <cell r="AV282">
            <v>841.06</v>
          </cell>
        </row>
        <row r="424">
          <cell r="AV424">
            <v>8</v>
          </cell>
        </row>
        <row r="447">
          <cell r="AV447">
            <v>0.02</v>
          </cell>
        </row>
        <row r="1518">
          <cell r="AV1518">
            <v>4660</v>
          </cell>
        </row>
        <row r="2865">
          <cell r="EM2865">
            <v>455817</v>
          </cell>
        </row>
        <row r="2866">
          <cell r="EM2866">
            <v>1989119.63</v>
          </cell>
        </row>
        <row r="2867">
          <cell r="EM2867">
            <v>305748</v>
          </cell>
        </row>
        <row r="2868">
          <cell r="EM2868">
            <v>845533.82</v>
          </cell>
        </row>
        <row r="2869">
          <cell r="EM2869">
            <v>449287.84</v>
          </cell>
        </row>
        <row r="2870">
          <cell r="EM2870">
            <v>186017.38</v>
          </cell>
        </row>
        <row r="2871">
          <cell r="EM2871">
            <v>18396</v>
          </cell>
        </row>
        <row r="2872">
          <cell r="EM2872">
            <v>195340</v>
          </cell>
        </row>
        <row r="2873">
          <cell r="EM2873">
            <v>7200</v>
          </cell>
        </row>
        <row r="2874">
          <cell r="EM2874">
            <v>900</v>
          </cell>
        </row>
        <row r="2875">
          <cell r="EM2875">
            <v>413821.92</v>
          </cell>
        </row>
        <row r="2876">
          <cell r="EM2876">
            <v>268878.54000000004</v>
          </cell>
        </row>
        <row r="2877">
          <cell r="EM2877">
            <v>620623.19999999995</v>
          </cell>
        </row>
        <row r="2878">
          <cell r="EM2878">
            <v>519632.75</v>
          </cell>
        </row>
        <row r="2879">
          <cell r="EM2879">
            <v>156521.99</v>
          </cell>
        </row>
        <row r="2880">
          <cell r="EM2880">
            <v>5429156.4000000004</v>
          </cell>
        </row>
        <row r="2881">
          <cell r="EM2881">
            <v>70000</v>
          </cell>
        </row>
        <row r="2882">
          <cell r="EM2882">
            <v>117350</v>
          </cell>
        </row>
        <row r="2883">
          <cell r="EM2883">
            <v>729474.18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January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1">
          <cell r="H11">
            <v>13018200</v>
          </cell>
        </row>
        <row r="573">
          <cell r="H573">
            <v>5000000</v>
          </cell>
        </row>
        <row r="636">
          <cell r="H636">
            <v>177388.37</v>
          </cell>
        </row>
        <row r="671">
          <cell r="H671">
            <v>9000</v>
          </cell>
        </row>
        <row r="712">
          <cell r="H712">
            <v>6.44</v>
          </cell>
        </row>
        <row r="713">
          <cell r="I713">
            <v>6.44</v>
          </cell>
        </row>
      </sheetData>
      <sheetData sheetId="12">
        <row r="12">
          <cell r="H12">
            <v>2402155.3300000005</v>
          </cell>
        </row>
      </sheetData>
      <sheetData sheetId="13"/>
      <sheetData sheetId="14"/>
      <sheetData sheetId="15">
        <row r="607">
          <cell r="H607">
            <v>198.82</v>
          </cell>
        </row>
        <row r="1840">
          <cell r="I1840">
            <v>83059.5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"/>
    </sheetNames>
    <sheetDataSet>
      <sheetData sheetId="0">
        <row r="259">
          <cell r="G259">
            <v>14986824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"/>
    </sheetNames>
    <sheetDataSet>
      <sheetData sheetId="0">
        <row r="463">
          <cell r="G463">
            <v>24764827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V-GJ."/>
      <sheetName val="FC 1"/>
      <sheetName val="Subsidies (APRIL)"/>
      <sheetName val="Liquidations"/>
    </sheetNames>
    <sheetDataSet>
      <sheetData sheetId="0">
        <row r="11">
          <cell r="H11">
            <v>1679613.049787607</v>
          </cell>
        </row>
        <row r="115">
          <cell r="H115">
            <v>5083708.3591994308</v>
          </cell>
        </row>
      </sheetData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March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>
        <row r="145">
          <cell r="I145">
            <v>4200</v>
          </cell>
        </row>
        <row r="167">
          <cell r="H167">
            <v>900</v>
          </cell>
        </row>
      </sheetData>
      <sheetData sheetId="7"/>
      <sheetData sheetId="8"/>
      <sheetData sheetId="9"/>
      <sheetData sheetId="10"/>
      <sheetData sheetId="11">
        <row r="11">
          <cell r="H11">
            <v>245751150.47</v>
          </cell>
        </row>
        <row r="283">
          <cell r="H283">
            <v>50000</v>
          </cell>
        </row>
      </sheetData>
      <sheetData sheetId="12">
        <row r="12">
          <cell r="H12">
            <v>3905156.4299999997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32">
          <cell r="G132">
            <v>25694.05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February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H12">
            <v>28762700</v>
          </cell>
        </row>
        <row r="283">
          <cell r="H283">
            <v>75000</v>
          </cell>
        </row>
      </sheetData>
      <sheetData sheetId="12">
        <row r="12">
          <cell r="H12">
            <v>5229134.88</v>
          </cell>
        </row>
      </sheetData>
      <sheetData sheetId="13"/>
      <sheetData sheetId="14"/>
      <sheetData sheetId="15">
        <row r="4481">
          <cell r="I4481">
            <v>605907.75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N122">
            <v>13608900</v>
          </cell>
          <cell r="P122">
            <v>7082693.3999999994</v>
          </cell>
          <cell r="Q122">
            <v>18000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  3 JEV CHECK ADA DJ"/>
      <sheetName val="FC 3 JEV"/>
      <sheetName val="FC3 CONTROL"/>
      <sheetName val="FC6"/>
      <sheetName val="FC6 CONTROL"/>
      <sheetName val="FC7 TF Check DJ"/>
      <sheetName val="FC7 TF JEV"/>
      <sheetName val="FC7 TF.CONTROL"/>
      <sheetName val="FC7 TF CLOSING ENTRY"/>
      <sheetName val="CRJ FC7- JADE"/>
      <sheetName val="CRJ FC7.Control"/>
      <sheetName val="SDO-NIKKI"/>
      <sheetName val="SDO CONTROL"/>
      <sheetName val="CDJ LGU (VL)"/>
      <sheetName val="LGU CONTROL"/>
      <sheetName val="CDJ-AOE (VL)"/>
      <sheetName val="JEV-GJ."/>
      <sheetName val="Sheet2"/>
      <sheetName val="JEV-GJ.Control"/>
      <sheetName val="FC 1 CLOSING ENTRY"/>
      <sheetName val="Post Closing Entry"/>
      <sheetName val="details.906"/>
      <sheetName val="OCTOBER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21">
          <cell r="H321">
            <v>96360.45</v>
          </cell>
        </row>
        <row r="393">
          <cell r="H393">
            <v>5000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Sheet1"/>
      <sheetName val="FC1CSFP"/>
      <sheetName val="FC1DIS"/>
      <sheetName val="Sheet3"/>
      <sheetName val="Sheet2"/>
      <sheetName val="FC1CIS"/>
      <sheetName val="tb control"/>
      <sheetName val="FC1-Pre TB"/>
      <sheetName val="FC1-Post TB "/>
      <sheetName val="FC1-Pre TB 2022 RESTATED"/>
      <sheetName val="FC1-Post TB 2022 RESTATED"/>
      <sheetName val="Distri."/>
      <sheetName val="Consu."/>
      <sheetName val="SE"/>
      <sheetName val="SE - Furniture"/>
      <sheetName val="FC1 post tb-June"/>
      <sheetName val="FO X June 2016"/>
    </sheetNames>
    <sheetDataSet>
      <sheetData sheetId="0">
        <row r="14">
          <cell r="N14"/>
        </row>
        <row r="17">
          <cell r="J17">
            <v>303065675.70101243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Sheet1"/>
      <sheetName val="FC1CSFP"/>
      <sheetName val="FC1DIS"/>
      <sheetName val="Sheet3"/>
      <sheetName val="Sheet2"/>
      <sheetName val="FC1CIS"/>
      <sheetName val="tb control"/>
      <sheetName val="FC1-Pre TB"/>
      <sheetName val="FC1-Post TB "/>
      <sheetName val="Distri."/>
      <sheetName val="Consu."/>
      <sheetName val="SE"/>
      <sheetName val="SE - Furniture"/>
      <sheetName val="FC1 post tb-June"/>
      <sheetName val="FO X June 2016"/>
    </sheetNames>
    <sheetDataSet>
      <sheetData sheetId="0">
        <row r="15">
          <cell r="J15">
            <v>540918715.34795666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4">
          <cell r="V4"/>
        </row>
        <row r="123">
          <cell r="F123">
            <v>2370546.7499999995</v>
          </cell>
          <cell r="G123">
            <v>9300</v>
          </cell>
        </row>
      </sheetData>
      <sheetData sheetId="2">
        <row r="119">
          <cell r="D119">
            <v>208026896.73916668</v>
          </cell>
          <cell r="E119">
            <v>103511.84</v>
          </cell>
          <cell r="F119">
            <v>972801.92</v>
          </cell>
          <cell r="G119">
            <v>16662.34</v>
          </cell>
          <cell r="N119">
            <v>49865532.290000014</v>
          </cell>
        </row>
      </sheetData>
      <sheetData sheetId="3"/>
      <sheetData sheetId="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 refreshError="1"/>
      <sheetData sheetId="1">
        <row r="123">
          <cell r="F123">
            <v>6261567.7800000003</v>
          </cell>
          <cell r="G123">
            <v>8692.73</v>
          </cell>
          <cell r="R123">
            <v>0</v>
          </cell>
          <cell r="S123">
            <v>17959.490000000002</v>
          </cell>
          <cell r="T123">
            <v>106129126.98</v>
          </cell>
          <cell r="U123">
            <v>10965887.49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  3 JEV CHECK ADA DJ"/>
      <sheetName val="FC 3 JEV"/>
      <sheetName val="FC3 CONTROL"/>
      <sheetName val="FC6"/>
      <sheetName val="FC6 CONTROL"/>
      <sheetName val="FC7 TF Check DJ"/>
      <sheetName val="FC7 TF JEV"/>
      <sheetName val="FC7 TF.CONTROL"/>
      <sheetName val="FC7 TF CLOSING ENTRY"/>
      <sheetName val="CRJ FC7"/>
      <sheetName val="CRJ FC7.Control"/>
      <sheetName val="SDO"/>
      <sheetName val="SDO CONTROL"/>
      <sheetName val="CDJ LGU - JESS"/>
      <sheetName val="LGU CONTROL"/>
      <sheetName val="CDJ-AOE JESS"/>
      <sheetName val="JEV-GJ."/>
      <sheetName val="Sheet2"/>
      <sheetName val="JEV-GJ.Control"/>
      <sheetName val="FC 1 CLOSING ENTRY"/>
      <sheetName val="Post Closing Entry"/>
      <sheetName val="details.906"/>
      <sheetName val="OCTOBER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29">
          <cell r="H629">
            <v>3960000</v>
          </cell>
        </row>
        <row r="707">
          <cell r="H707">
            <v>3425425.01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FC 1"/>
      <sheetName val="JEV"/>
      <sheetName val="JEV-GJ.Control"/>
      <sheetName val="Subsidies from VDRC"/>
      <sheetName val="Liquidations ."/>
    </sheetNames>
    <sheetDataSet>
      <sheetData sheetId="0"/>
      <sheetData sheetId="1"/>
      <sheetData sheetId="2"/>
      <sheetData sheetId="3">
        <row r="115">
          <cell r="F115">
            <v>-2580493.27</v>
          </cell>
        </row>
      </sheetData>
      <sheetData sheetId="4"/>
      <sheetData sheetId="5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 FC 1 - February"/>
      <sheetName val="FC 1 CLOSING ENTRY"/>
      <sheetName val="Post Closing Entry"/>
      <sheetName val="details.906"/>
      <sheetName val="JEV-GJ.Control"/>
      <sheetName val="JULY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15">
          <cell r="E115">
            <v>2139728.4500000002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JEV"/>
      <sheetName val="JEV (2)"/>
      <sheetName val="fc7"/>
      <sheetName val="GJ-FC1"/>
      <sheetName val="JEV-GJ.Control"/>
      <sheetName val="Sheet3"/>
      <sheetName val="2018"/>
      <sheetName val="2019"/>
      <sheetName val="2020"/>
      <sheetName val="subsidy1"/>
      <sheetName val="Subsidy"/>
      <sheetName val="Sheet5"/>
      <sheetName val="Liquidations(1)"/>
      <sheetName val="Subsidies from VDRC (2)"/>
      <sheetName val="Liquidations"/>
      <sheetName val="Sheet1"/>
      <sheetName val="Sheet2"/>
      <sheetName val="Subsidies from VDRC"/>
      <sheetName val="JEV-GJ.-AUG"/>
    </sheetNames>
    <sheetDataSet>
      <sheetData sheetId="0"/>
      <sheetData sheetId="1"/>
      <sheetData sheetId="2"/>
      <sheetData sheetId="3"/>
      <sheetData sheetId="4"/>
      <sheetData sheetId="5">
        <row r="115">
          <cell r="D115">
            <v>80753360.080000013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LP"/>
      <sheetName val="GJ"/>
      <sheetName val="JEV-GJ.Control"/>
      <sheetName val=" December 12cycle 2023"/>
      <sheetName val="January 12cycle 2024"/>
      <sheetName val="GJ-February 2024"/>
      <sheetName val="February 12cycle 2024"/>
      <sheetName val="JEV GJ"/>
      <sheetName val="For JEV"/>
      <sheetName val="CDJ 138 (2)"/>
      <sheetName val="CDJ - 138 136 139 (2)"/>
      <sheetName val="CDJ - 136 138 139"/>
      <sheetName val="CDJ - 103 148"/>
      <sheetName val="JEV-GJ"/>
      <sheetName val="CkDJ"/>
      <sheetName val="CkDJ MDS 2"/>
      <sheetName val="CkDJ MDS 1"/>
      <sheetName val="JEV Control"/>
      <sheetName val="CDJ Control"/>
      <sheetName val="GOP Control"/>
      <sheetName val="Sheet1"/>
      <sheetName val="Requested Ext"/>
      <sheetName val="Internal sorted (3)"/>
      <sheetName val="Requested Ext Final"/>
      <sheetName val="Internal sortedFinal"/>
      <sheetName val="Sheet2"/>
      <sheetName val="Sheet4"/>
    </sheetNames>
    <sheetDataSet>
      <sheetData sheetId="0"/>
      <sheetData sheetId="1"/>
      <sheetData sheetId="2"/>
      <sheetData sheetId="3">
        <row r="115">
          <cell r="D115">
            <v>57377753.950000033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 Titles"/>
      <sheetName val="LP"/>
      <sheetName val="GJ"/>
      <sheetName val="JEV-GJ.Control"/>
      <sheetName val="February 13th cycle 2024"/>
      <sheetName val="GJ February 13th cycle 2024"/>
      <sheetName val="JEV GJ"/>
      <sheetName val="For JEV"/>
      <sheetName val="CDJ 138 (2)"/>
      <sheetName val="CDJ - 138 136 139 (2)"/>
      <sheetName val="CDJ - 136 138 139"/>
      <sheetName val="CDJ - 103 148"/>
      <sheetName val="JEV-GJ"/>
      <sheetName val="CkDJ"/>
      <sheetName val="CkDJ MDS 2"/>
      <sheetName val="CkDJ MDS 1"/>
      <sheetName val="JEV Control"/>
      <sheetName val="CDJ Control"/>
      <sheetName val="GOP Control"/>
      <sheetName val="Sheet1"/>
      <sheetName val="Requested Ext"/>
      <sheetName val="Internal sorted (3)"/>
      <sheetName val="Requested Ext Final"/>
      <sheetName val="Internal sortedFinal"/>
      <sheetName val="Sheet2"/>
      <sheetName val="Sheet4"/>
    </sheetNames>
    <sheetDataSet>
      <sheetData sheetId="0"/>
      <sheetData sheetId="1"/>
      <sheetData sheetId="2"/>
      <sheetData sheetId="3">
        <row r="115">
          <cell r="D115">
            <v>64681960.459999993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-BOAS 2022"/>
      <sheetName val="Conso-Breakdown of ASD 2021"/>
      <sheetName val="Conso-SCBAA 2022"/>
      <sheetName val="Conso-CF 2021"/>
      <sheetName val="Conso-SCNAE 2022"/>
      <sheetName val="Conso-Condensed SoCF 2022"/>
      <sheetName val="Conso-Detailed SoCF 2022"/>
      <sheetName val="Conso-NetAssets 2021"/>
      <sheetName val="Conso-CSFPosition 2022"/>
      <sheetName val="Conso-DetailedPosition 2022"/>
      <sheetName val="Conso-CSFPerfor 2022"/>
      <sheetName val="Conso-DetailedPerf 2022"/>
      <sheetName val="Conso-Post TB 2022"/>
      <sheetName val="Conso-Pre TB 2022"/>
      <sheetName val="FO X June 2016"/>
    </sheetNames>
    <sheetDataSet>
      <sheetData sheetId="0"/>
      <sheetData sheetId="1"/>
      <sheetData sheetId="2"/>
      <sheetData sheetId="3"/>
      <sheetData sheetId="4">
        <row r="12">
          <cell r="H12">
            <v>197996036.94</v>
          </cell>
        </row>
      </sheetData>
      <sheetData sheetId="5"/>
      <sheetData sheetId="6">
        <row r="67">
          <cell r="H67">
            <v>217778059.54999998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>
        <row r="15">
          <cell r="J15">
            <v>11000000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4SCF"/>
      <sheetName val="FC1SGE"/>
      <sheetName val="FC1SFP"/>
      <sheetName val="FC1CSFP"/>
      <sheetName val="FC1DIS"/>
      <sheetName val="FC1CIS"/>
      <sheetName val="tb control"/>
      <sheetName val="FC1-Post TB"/>
      <sheetName val="FC1-Pre TB"/>
      <sheetName val="FC1 post tb-June"/>
      <sheetName val="FO X June 2016"/>
    </sheetNames>
    <sheetDataSet>
      <sheetData sheetId="0"/>
      <sheetData sheetId="1">
        <row r="19">
          <cell r="J19">
            <v>1060847.8499999975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-Pre TB 2022 RESTATED"/>
      <sheetName val="FC1-Post TB 2022 RESTATED"/>
      <sheetName val="FC1 post tb-June"/>
      <sheetName val="FO X June 2016"/>
    </sheetNames>
    <sheetDataSet>
      <sheetData sheetId="0">
        <row r="20">
          <cell r="M20">
            <v>-605907.75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-Pre TB 2022 RESTATED"/>
      <sheetName val="FC1-Post TB 2022 RESTATED"/>
      <sheetName val="FC1 post tb-June"/>
      <sheetName val="FO X June 2016"/>
    </sheetNames>
    <sheetDataSet>
      <sheetData sheetId="0">
        <row r="15">
          <cell r="J1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>
        <row r="15">
          <cell r="J15">
            <v>21053223.620000001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</sheetNames>
    <sheetDataSet>
      <sheetData sheetId="0"/>
      <sheetData sheetId="1">
        <row r="104">
          <cell r="Y104">
            <v>6704797.0099999998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-BOAS 2022"/>
      <sheetName val="Conso-Breakdown of ASD 2021"/>
      <sheetName val="Conso-SCBAA 2022"/>
      <sheetName val="Conso-CF 2021"/>
      <sheetName val="Conso-SCNAE 2022"/>
      <sheetName val="Conso-Condensed SoCF 2022"/>
      <sheetName val="Conso-Detailed SoCF 2022"/>
      <sheetName val="Conso-NetAssets 2021"/>
      <sheetName val="Conso-CSFPosition 2022"/>
      <sheetName val="Conso-DetailedPosition 2022"/>
      <sheetName val="Conso-CSFPerfor 2022"/>
      <sheetName val="Conso-DetailedPerf 2022"/>
      <sheetName val="Conso-Post TB 2022"/>
      <sheetName val="Conso-Pre TB 2022"/>
      <sheetName val="FO X June 2016"/>
    </sheetNames>
    <sheetDataSet>
      <sheetData sheetId="0">
        <row r="50">
          <cell r="D50">
            <v>-136225920.85000002</v>
          </cell>
        </row>
      </sheetData>
      <sheetData sheetId="1" refreshError="1"/>
      <sheetData sheetId="2" refreshError="1"/>
      <sheetData sheetId="3" refreshError="1"/>
      <sheetData sheetId="4">
        <row r="12">
          <cell r="H12">
            <v>197996036.94</v>
          </cell>
        </row>
      </sheetData>
      <sheetData sheetId="5" refreshError="1"/>
      <sheetData sheetId="6" refreshError="1"/>
      <sheetData sheetId="7" refreshError="1"/>
      <sheetData sheetId="8" refreshError="1"/>
      <sheetData sheetId="9">
        <row r="20">
          <cell r="I20">
            <v>44814830.469999939</v>
          </cell>
        </row>
      </sheetData>
      <sheetData sheetId="10" refreshError="1"/>
      <sheetData sheetId="11">
        <row r="28">
          <cell r="I28">
            <v>14020.939999999999</v>
          </cell>
        </row>
      </sheetData>
      <sheetData sheetId="12" refreshError="1"/>
      <sheetData sheetId="13">
        <row r="10">
          <cell r="B10">
            <v>1010101000</v>
          </cell>
        </row>
      </sheetData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BOAS"/>
      <sheetName val="FC1"/>
      <sheetName val="FC1-Pre TB"/>
      <sheetName val="FC1-Pre TB (2)"/>
      <sheetName val="FC1-Post TB "/>
      <sheetName val="FC1 post tb-June"/>
      <sheetName val="FO X June 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-732161353.1099999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 AS "/>
      <sheetName val="Oct"/>
      <sheetName val="FC 1"/>
      <sheetName val="Sheet5"/>
      <sheetName val="FC 1 Working Paper"/>
      <sheetName val="FC 1 4Ps"/>
      <sheetName val="FC 2"/>
      <sheetName val="FC 1 4Ps."/>
      <sheetName val="FC 1 4Ps  "/>
      <sheetName val="FC 1 4ps Working Paper"/>
      <sheetName val="Sheet9"/>
      <sheetName val="Nov"/>
      <sheetName val="FC1"/>
      <sheetName val="FC 4"/>
      <sheetName val="FC 6"/>
      <sheetName val="FC 7 CO"/>
      <sheetName val="FC 7"/>
      <sheetName val=" FC 7 "/>
      <sheetName val="Sheet4"/>
      <sheetName val="Sheet1 (2)"/>
      <sheetName val="Sheet1"/>
      <sheetName val="Sheet2"/>
      <sheetName val="Sheet3"/>
    </sheetNames>
    <sheetDataSet>
      <sheetData sheetId="0"/>
      <sheetData sheetId="1">
        <row r="3">
          <cell r="A3" t="str">
            <v>As of DECEMBER 31, 2022</v>
          </cell>
        </row>
      </sheetData>
      <sheetData sheetId="2">
        <row r="92">
          <cell r="A92" t="str">
            <v>Balance as of SEPTEMBER 30, 2022</v>
          </cell>
        </row>
      </sheetData>
      <sheetData sheetId="3"/>
      <sheetData sheetId="4"/>
      <sheetData sheetId="5"/>
      <sheetData sheetId="6">
        <row r="59">
          <cell r="D59">
            <v>156801566.4036999</v>
          </cell>
        </row>
      </sheetData>
      <sheetData sheetId="7"/>
      <sheetData sheetId="8"/>
      <sheetData sheetId="9"/>
      <sheetData sheetId="10">
        <row r="3">
          <cell r="C3">
            <v>1428600</v>
          </cell>
        </row>
      </sheetData>
      <sheetData sheetId="11"/>
      <sheetData sheetId="12">
        <row r="3">
          <cell r="A3" t="str">
            <v>As of DECEMBER 31, 2022</v>
          </cell>
        </row>
      </sheetData>
      <sheetData sheetId="13">
        <row r="35">
          <cell r="D35">
            <v>788641.91</v>
          </cell>
        </row>
      </sheetData>
      <sheetData sheetId="14">
        <row r="13">
          <cell r="D13">
            <v>7.24</v>
          </cell>
        </row>
      </sheetData>
      <sheetData sheetId="15">
        <row r="38">
          <cell r="E38">
            <v>-14327963.050000001</v>
          </cell>
        </row>
      </sheetData>
      <sheetData sheetId="16"/>
      <sheetData sheetId="17">
        <row r="17">
          <cell r="E17">
            <v>7240647.0999999987</v>
          </cell>
        </row>
      </sheetData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 (2)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19">
          <cell r="BX119">
            <v>9697.7999999999993</v>
          </cell>
        </row>
        <row r="120">
          <cell r="BX120">
            <v>5129.17</v>
          </cell>
        </row>
        <row r="121">
          <cell r="BX121">
            <v>2133.58</v>
          </cell>
        </row>
        <row r="122">
          <cell r="BX122">
            <v>9395.4</v>
          </cell>
        </row>
        <row r="123">
          <cell r="BX123">
            <v>8417.5</v>
          </cell>
        </row>
        <row r="131">
          <cell r="BX131">
            <v>5000</v>
          </cell>
        </row>
        <row r="136">
          <cell r="BX136">
            <v>9038.69</v>
          </cell>
        </row>
        <row r="149">
          <cell r="BX149">
            <v>19512.689999999999</v>
          </cell>
        </row>
        <row r="152">
          <cell r="BX152">
            <v>5564.08</v>
          </cell>
        </row>
        <row r="153">
          <cell r="BX153">
            <v>4162.37</v>
          </cell>
        </row>
        <row r="198">
          <cell r="BX198">
            <v>3462.33</v>
          </cell>
        </row>
        <row r="201">
          <cell r="BX201">
            <v>2087.58</v>
          </cell>
        </row>
        <row r="202">
          <cell r="BX202">
            <v>952.43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 (2)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4">
          <cell r="BX14">
            <v>11143.22</v>
          </cell>
        </row>
        <row r="15">
          <cell r="BX15">
            <v>1605.98</v>
          </cell>
        </row>
        <row r="16">
          <cell r="BX16">
            <v>1738.81</v>
          </cell>
        </row>
        <row r="17">
          <cell r="BX17">
            <v>8512.7000000000007</v>
          </cell>
        </row>
        <row r="21">
          <cell r="BX21">
            <v>84445.51</v>
          </cell>
        </row>
        <row r="27">
          <cell r="BX27">
            <v>1500.69</v>
          </cell>
        </row>
        <row r="28">
          <cell r="BX28">
            <v>4862.84</v>
          </cell>
        </row>
        <row r="31">
          <cell r="BX31">
            <v>4311.6400000000003</v>
          </cell>
        </row>
        <row r="33">
          <cell r="BX33">
            <v>1923.81</v>
          </cell>
        </row>
        <row r="35">
          <cell r="BX35">
            <v>1895.38</v>
          </cell>
        </row>
        <row r="37">
          <cell r="BX37">
            <v>2548.2399999999998</v>
          </cell>
        </row>
        <row r="39">
          <cell r="BX39">
            <v>2379.7600000000002</v>
          </cell>
        </row>
        <row r="41">
          <cell r="BX41">
            <v>1442.58</v>
          </cell>
        </row>
        <row r="48">
          <cell r="BX48">
            <v>5300</v>
          </cell>
        </row>
        <row r="54">
          <cell r="BX54">
            <v>400</v>
          </cell>
        </row>
        <row r="57">
          <cell r="BX57">
            <v>36319</v>
          </cell>
        </row>
        <row r="65">
          <cell r="BX65">
            <v>6000</v>
          </cell>
        </row>
        <row r="108">
          <cell r="BX108">
            <v>148946.96</v>
          </cell>
        </row>
        <row r="139">
          <cell r="BX139">
            <v>4311.6400000000003</v>
          </cell>
        </row>
        <row r="147">
          <cell r="BX147">
            <v>4000</v>
          </cell>
        </row>
        <row r="154">
          <cell r="BX154">
            <v>100</v>
          </cell>
        </row>
        <row r="156">
          <cell r="BX156">
            <v>100</v>
          </cell>
        </row>
        <row r="271">
          <cell r="BX271">
            <v>3000</v>
          </cell>
        </row>
        <row r="272">
          <cell r="BX272">
            <v>640</v>
          </cell>
        </row>
        <row r="338">
          <cell r="BX338">
            <v>14251.14</v>
          </cell>
        </row>
        <row r="339">
          <cell r="BX339">
            <v>11124.21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017">
          <cell r="O1017">
            <v>236.93</v>
          </cell>
        </row>
        <row r="1018">
          <cell r="O1018">
            <v>389234</v>
          </cell>
        </row>
        <row r="1019">
          <cell r="O1019">
            <v>573475</v>
          </cell>
        </row>
        <row r="1020">
          <cell r="O1020">
            <v>30694</v>
          </cell>
        </row>
        <row r="1021">
          <cell r="O1021">
            <v>120989</v>
          </cell>
        </row>
        <row r="1022">
          <cell r="O1022">
            <v>28244</v>
          </cell>
        </row>
        <row r="1023">
          <cell r="O1023">
            <v>24000</v>
          </cell>
        </row>
        <row r="1024">
          <cell r="O1024">
            <v>43000</v>
          </cell>
        </row>
        <row r="1025">
          <cell r="O1025">
            <v>157500</v>
          </cell>
        </row>
        <row r="1026">
          <cell r="O1026">
            <v>173000</v>
          </cell>
        </row>
        <row r="1027">
          <cell r="O1027">
            <v>24000</v>
          </cell>
        </row>
        <row r="1031">
          <cell r="O1031">
            <v>98239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10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0.xml"/></Relationships>
</file>

<file path=xl/pivotCache/_rels/pivotCacheDefinition1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alene G. Miñoza" refreshedDate="45300.486566550928" createdVersion="5" refreshedVersion="5" minRefreshableVersion="3" recordCount="23">
  <cacheSource type="worksheet">
    <worksheetSource ref="AB90:AC113" sheet="WORKING PAPER FC1"/>
  </cacheSource>
  <cacheFields count="2">
    <cacheField name="ADJUSTMENTS ATE MARILET " numFmtId="0">
      <sharedItems containsSemiMixedTypes="0" containsString="0" containsNumber="1" containsInteger="1" minValue="5010102000" maxValue="5029999099" count="9">
        <n v="5010102000"/>
        <n v="5021199000"/>
        <n v="5020201002"/>
        <n v="5020502001"/>
        <n v="5020322001"/>
        <n v="5020101000"/>
        <n v="5021499000"/>
        <n v="5021306001"/>
        <n v="5029999099"/>
      </sharedItems>
    </cacheField>
    <cacheField name=" 777,131.79 " numFmtId="43">
      <sharedItems containsSemiMixedTypes="0" containsString="0" containsNumber="1" minValue="0.01" maxValue="351900.64" count="23">
        <n v="63102.31"/>
        <n v="13391.18"/>
        <n v="4296"/>
        <n v="2592"/>
        <n v="34321.440000000002"/>
        <n v="770"/>
        <n v="52561.46"/>
        <n v="3000"/>
        <n v="1367.4"/>
        <n v="17398.62"/>
        <n v="13441.43"/>
        <n v="30681.18"/>
        <n v="1008.49"/>
        <n v="88986.1"/>
        <n v="351900.64"/>
        <n v="10476"/>
        <n v="2450"/>
        <n v="4616.46"/>
        <n v="0.01"/>
        <n v="200"/>
        <n v="60491.75"/>
        <n v="4785.95"/>
        <n v="15293.3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edBy="Valene G. Miñoza" refreshedDate="45386.466868171294" createdVersion="5" refreshedVersion="5" minRefreshableVersion="3" recordCount="11">
  <cacheSource type="worksheet">
    <worksheetSource ref="K101:L112" sheet="WORKING PAPER FC1"/>
  </cacheSource>
  <cacheFields count="2">
    <cacheField name="GJ " numFmtId="0">
      <sharedItems containsSemiMixedTypes="0" containsString="0" containsNumber="1" containsInteger="1" minValue="5010101001" maxValue="5020399000" count="9">
        <n v="5010101001"/>
        <n v="5020307000"/>
        <n v="5020305000"/>
        <n v="5020308000"/>
        <n v="5020399000"/>
        <n v="5020322001"/>
        <n v="5020321003"/>
        <n v="5020321002"/>
        <n v="5020321099"/>
      </sharedItems>
    </cacheField>
    <cacheField name=" 10,965,887.49 " numFmtId="43">
      <sharedItems containsSemiMixedTypes="0" containsString="0" containsNumber="1" minValue="13200" maxValue="6919225.27999999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edBy="Valene G. Miñoza" refreshedDate="45387.648218171293" createdVersion="5" refreshedVersion="5" minRefreshableVersion="3" recordCount="108">
  <cacheSource type="worksheet">
    <worksheetSource ref="K123:L231" sheet="WORKING PAPER FC1"/>
  </cacheSource>
  <cacheFields count="2">
    <cacheField name="GOP CHECK DJ" numFmtId="0">
      <sharedItems containsSemiMixedTypes="0" containsString="0" containsNumber="1" containsInteger="1" minValue="5010102000" maxValue="5029999099" count="9">
        <n v="5010102000"/>
        <n v="5020101000"/>
        <n v="5020309000"/>
        <n v="5020401000"/>
        <n v="5020201000"/>
        <n v="5029903000"/>
        <n v="5029999099"/>
        <n v="5020501000"/>
        <n v="5021305002"/>
      </sharedItems>
    </cacheField>
    <cacheField name="-8,817,353.10 " numFmtId="43">
      <sharedItems containsSemiMixedTypes="0" containsString="0" containsNumber="1" minValue="-6336000" maxValue="-7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Valene G. Miñoza" refreshedDate="45364.420551388888" createdVersion="5" refreshedVersion="5" minRefreshableVersion="3" recordCount="30">
  <cacheSource type="worksheet">
    <worksheetSource ref="A9:B39" sheet="WORKING PAPER FC1"/>
  </cacheSource>
  <cacheFields count="2">
    <cacheField name="CHECK ADA DJ MDS " numFmtId="0">
      <sharedItems containsSemiMixedTypes="0" containsString="0" containsNumber="1" containsInteger="1" minValue="5010101001" maxValue="5021199000" count="5">
        <n v="5020402000"/>
        <n v="5021199000"/>
        <n v="5010102000"/>
        <n v="5010101001"/>
        <n v="5020502002"/>
      </sharedItems>
    </cacheField>
    <cacheField name="-124,970.56 " numFmtId="43">
      <sharedItems containsSemiMixedTypes="0" containsString="0" containsNumber="1" minValue="-27007.38" maxValue="2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Valene G. Miñoza" refreshedDate="45364.437188194446" createdVersion="5" refreshedVersion="5" minRefreshableVersion="3" recordCount="42">
  <cacheSource type="worksheet">
    <worksheetSource ref="A42:B84" sheet="WORKING PAPER FC1"/>
  </cacheSource>
  <cacheFields count="2">
    <cacheField name="GOP CHECK DJ" numFmtId="0">
      <sharedItems containsSemiMixedTypes="0" containsString="0" containsNumber="1" containsInteger="1" minValue="5010102000" maxValue="5021601000" count="6">
        <n v="5020401000"/>
        <n v="5010102000"/>
        <n v="5010302001"/>
        <n v="5021199000"/>
        <n v="5021203000"/>
        <n v="5021601000"/>
      </sharedItems>
    </cacheField>
    <cacheField name="-783,135.31 " numFmtId="43">
      <sharedItems containsSemiMixedTypes="0" containsString="0" containsNumber="1" minValue="-318902.94" maxValue="9774.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Valene G. Miñoza" refreshedDate="45364.450366435187" createdVersion="5" refreshedVersion="5" minRefreshableVersion="3" recordCount="18">
  <cacheSource type="worksheet">
    <worksheetSource ref="A87:B105" sheet="WORKING PAPER FC1"/>
  </cacheSource>
  <cacheFields count="2">
    <cacheField name="KYRA" numFmtId="0">
      <sharedItems containsSemiMixedTypes="0" containsString="0" containsNumber="1" containsInteger="1" minValue="2020" maxValue="5020399000" count="7">
        <n v="5020399000"/>
        <n v="5020305000"/>
        <n v="2020"/>
        <n v="1040405000"/>
        <n v="1040499000"/>
        <n v="1040401000"/>
        <n v="1040406000"/>
      </sharedItems>
    </cacheField>
    <cacheField name="-3,564,509.92 " numFmtId="43">
      <sharedItems containsSemiMixedTypes="0" containsString="0" containsNumber="1" minValue="-1218777.3" maxValue="49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Valene G. Miñoza" refreshedDate="45364.476702546293" createdVersion="5" refreshedVersion="5" minRefreshableVersion="3" recordCount="33">
  <cacheSource type="worksheet">
    <worksheetSource ref="F9:G42" sheet="WORKING PAPER FC1"/>
  </cacheSource>
  <cacheFields count="2">
    <cacheField name="MDS CHECK DJ" numFmtId="0">
      <sharedItems containsSemiMixedTypes="0" containsString="0" containsNumber="1" containsInteger="1" minValue="5010101001" maxValue="5029999099" count="11">
        <n v="5021199000"/>
        <n v="5021499000"/>
        <n v="5021305003"/>
        <n v="5021203000"/>
        <n v="5020101000"/>
        <n v="5020402000"/>
        <n v="5029999099"/>
        <n v="5020301000"/>
        <n v="5020399000"/>
        <n v="5010102000"/>
        <n v="5010101001"/>
      </sharedItems>
    </cacheField>
    <cacheField name="-2,361,246.75 " numFmtId="43">
      <sharedItems containsSemiMixedTypes="0" containsString="0" containsNumber="1" minValue="-528936" maxValue="3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Valene G. Miñoza" refreshedDate="45364.478157407408" createdVersion="5" refreshedVersion="5" minRefreshableVersion="3" recordCount="26">
  <cacheSource type="worksheet">
    <worksheetSource ref="F44:G70" sheet="WORKING PAPER FC1"/>
  </cacheSource>
  <cacheFields count="2">
    <cacheField name="GOP CHECK DJ" numFmtId="0">
      <sharedItems containsSemiMixedTypes="0" containsString="0" containsNumber="1" containsInteger="1" minValue="5010102000" maxValue="5021203000" count="6">
        <n v="5021199000"/>
        <n v="5010102000"/>
        <n v="5010299011"/>
        <n v="5010299014"/>
        <n v="5010499099"/>
        <n v="5021203000"/>
      </sharedItems>
    </cacheField>
    <cacheField name="-956,139.58 " numFmtId="43">
      <sharedItems containsSemiMixedTypes="0" containsString="0" containsNumber="1" minValue="-537349.92000000004" maxValue="16662.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Valene G. Miñoza" refreshedDate="45364.488976620371" createdVersion="5" refreshedVersion="5" minRefreshableVersion="3" recordCount="5">
  <cacheSource type="worksheet">
    <worksheetSource ref="F73:G78" sheet="WORKING PAPER FC1"/>
  </cacheSource>
  <cacheFields count="2">
    <cacheField name="KYRA" numFmtId="0">
      <sharedItems containsSemiMixedTypes="0" containsString="0" containsNumber="1" containsInteger="1" minValue="1040401000" maxValue="1040499000" count="3">
        <n v="1040499000"/>
        <n v="1040401000"/>
        <n v="1040407000"/>
      </sharedItems>
    </cacheField>
    <cacheField name="-2,580,493.27 " numFmtId="43">
      <sharedItems containsSemiMixedTypes="0" containsString="0" containsNumber="1" minValue="-2528738.27" maxValue="2000" count="5">
        <n v="-2000"/>
        <n v="2000"/>
        <n v="-2528738.27"/>
        <n v="-48185"/>
        <n v="-357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edBy="Valene G. Miñoza" refreshedDate="45364.490224768517" createdVersion="5" refreshedVersion="5" minRefreshableVersion="3" recordCount="5">
  <cacheSource type="worksheet">
    <worksheetSource ref="F81:G86" sheet="WORKING PAPER FC1"/>
  </cacheSource>
  <cacheFields count="2">
    <cacheField name="GENNY" numFmtId="0">
      <sharedItems containsSemiMixedTypes="0" containsString="0" containsNumber="1" containsInteger="1" minValue="1040502000" maxValue="1040601000" count="5">
        <n v="1040502000"/>
        <n v="1040503000"/>
        <n v="1040510000"/>
        <n v="1040599000"/>
        <n v="1040601000"/>
      </sharedItems>
    </cacheField>
    <cacheField name="-2,139,728.45 " numFmtId="43">
      <sharedItems containsSemiMixedTypes="0" containsString="0" containsNumber="1" minValue="-1023250.45" maxValue="-515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edBy="Valene G. Miñoza" refreshedDate="45386.435773379628" createdVersion="5" refreshedVersion="5" minRefreshableVersion="3" recordCount="85">
  <cacheSource type="worksheet">
    <worksheetSource ref="K10:L95" sheet="WORKING PAPER FC1"/>
  </cacheSource>
  <cacheFields count="2">
    <cacheField name="MDS CHECK DJ" numFmtId="0">
      <sharedItems containsSemiMixedTypes="0" containsString="0" containsNumber="1" containsInteger="1" minValue="5010101001" maxValue="5029999099" count="10">
        <n v="5021199000"/>
        <n v="5020101000"/>
        <n v="5021499000"/>
        <n v="5020502001"/>
        <n v="5029999099"/>
        <n v="5020201000"/>
        <n v="5020399000"/>
        <n v="5029903000"/>
        <n v="5020307000"/>
        <n v="5010101001"/>
      </sharedItems>
    </cacheField>
    <cacheField name="-6,252,875.05 " numFmtId="43">
      <sharedItems containsSemiMixedTypes="0" containsString="0" containsNumber="1" minValue="-1404000" maxValue="5522.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x v="0"/>
  </r>
  <r>
    <x v="1"/>
    <x v="1"/>
  </r>
  <r>
    <x v="2"/>
    <x v="2"/>
  </r>
  <r>
    <x v="2"/>
    <x v="3"/>
  </r>
  <r>
    <x v="1"/>
    <x v="4"/>
  </r>
  <r>
    <x v="3"/>
    <x v="5"/>
  </r>
  <r>
    <x v="1"/>
    <x v="6"/>
  </r>
  <r>
    <x v="3"/>
    <x v="7"/>
  </r>
  <r>
    <x v="4"/>
    <x v="8"/>
  </r>
  <r>
    <x v="1"/>
    <x v="9"/>
  </r>
  <r>
    <x v="1"/>
    <x v="10"/>
  </r>
  <r>
    <x v="1"/>
    <x v="11"/>
  </r>
  <r>
    <x v="5"/>
    <x v="12"/>
  </r>
  <r>
    <x v="1"/>
    <x v="13"/>
  </r>
  <r>
    <x v="5"/>
    <x v="14"/>
  </r>
  <r>
    <x v="5"/>
    <x v="15"/>
  </r>
  <r>
    <x v="6"/>
    <x v="16"/>
  </r>
  <r>
    <x v="1"/>
    <x v="17"/>
  </r>
  <r>
    <x v="7"/>
    <x v="18"/>
  </r>
  <r>
    <x v="8"/>
    <x v="19"/>
  </r>
  <r>
    <x v="1"/>
    <x v="20"/>
  </r>
  <r>
    <x v="1"/>
    <x v="21"/>
  </r>
  <r>
    <x v="1"/>
    <x v="22"/>
  </r>
</pivotCacheRecords>
</file>

<file path=xl/pivotCache/pivotCacheRecords10.xml><?xml version="1.0" encoding="utf-8"?>
<pivotCacheRecords xmlns="http://schemas.openxmlformats.org/spreadsheetml/2006/main" xmlns:r="http://schemas.openxmlformats.org/officeDocument/2006/relationships" count="11">
  <r>
    <x v="0"/>
    <n v="48807"/>
  </r>
  <r>
    <x v="1"/>
    <n v="191829.36000000002"/>
  </r>
  <r>
    <x v="2"/>
    <n v="1683619.3299999998"/>
  </r>
  <r>
    <x v="3"/>
    <n v="433124.75"/>
  </r>
  <r>
    <x v="4"/>
    <n v="539288.77"/>
  </r>
  <r>
    <x v="4"/>
    <n v="6919225.2799999993"/>
  </r>
  <r>
    <x v="4"/>
    <n v="748858"/>
  </r>
  <r>
    <x v="5"/>
    <n v="13200"/>
  </r>
  <r>
    <x v="6"/>
    <n v="73600"/>
  </r>
  <r>
    <x v="7"/>
    <n v="21980"/>
  </r>
  <r>
    <x v="8"/>
    <n v="292355"/>
  </r>
</pivotCacheRecords>
</file>

<file path=xl/pivotCache/pivotCacheRecords11.xml><?xml version="1.0" encoding="utf-8"?>
<pivotCacheRecords xmlns="http://schemas.openxmlformats.org/spreadsheetml/2006/main" xmlns:r="http://schemas.openxmlformats.org/officeDocument/2006/relationships" count="108">
  <r>
    <x v="0"/>
    <n v="-1371.77"/>
  </r>
  <r>
    <x v="1"/>
    <n v="-4000"/>
  </r>
  <r>
    <x v="2"/>
    <n v="-2906.83"/>
  </r>
  <r>
    <x v="1"/>
    <n v="-38608"/>
  </r>
  <r>
    <x v="1"/>
    <n v="-38608"/>
  </r>
  <r>
    <x v="1"/>
    <n v="-24130"/>
  </r>
  <r>
    <x v="1"/>
    <n v="-13609"/>
  </r>
  <r>
    <x v="1"/>
    <n v="-10330"/>
  </r>
  <r>
    <x v="1"/>
    <n v="-8863"/>
  </r>
  <r>
    <x v="1"/>
    <n v="-14105"/>
  </r>
  <r>
    <x v="1"/>
    <n v="-41021"/>
  </r>
  <r>
    <x v="1"/>
    <n v="-59326"/>
  </r>
  <r>
    <x v="1"/>
    <n v="-11329"/>
  </r>
  <r>
    <x v="1"/>
    <n v="-36002"/>
  </r>
  <r>
    <x v="1"/>
    <n v="-27304"/>
  </r>
  <r>
    <x v="1"/>
    <n v="-37406"/>
  </r>
  <r>
    <x v="1"/>
    <n v="-11489"/>
  </r>
  <r>
    <x v="1"/>
    <n v="-20629"/>
  </r>
  <r>
    <x v="1"/>
    <n v="-44069"/>
  </r>
  <r>
    <x v="1"/>
    <n v="-14700"/>
  </r>
  <r>
    <x v="1"/>
    <n v="-1960"/>
  </r>
  <r>
    <x v="1"/>
    <n v="-45092"/>
  </r>
  <r>
    <x v="1"/>
    <n v="-16665"/>
  </r>
  <r>
    <x v="1"/>
    <n v="-28191"/>
  </r>
  <r>
    <x v="1"/>
    <n v="-23644"/>
  </r>
  <r>
    <x v="1"/>
    <n v="-25749"/>
  </r>
  <r>
    <x v="1"/>
    <n v="-19304"/>
  </r>
  <r>
    <x v="1"/>
    <n v="-24130"/>
  </r>
  <r>
    <x v="1"/>
    <n v="-68241"/>
  </r>
  <r>
    <x v="1"/>
    <n v="-1224"/>
  </r>
  <r>
    <x v="1"/>
    <n v="-4400"/>
  </r>
  <r>
    <x v="1"/>
    <n v="-21501"/>
  </r>
  <r>
    <x v="1"/>
    <n v="-24117"/>
  </r>
  <r>
    <x v="1"/>
    <n v="-9652"/>
  </r>
  <r>
    <x v="1"/>
    <n v="-15976"/>
  </r>
  <r>
    <x v="1"/>
    <n v="-17731"/>
  </r>
  <r>
    <x v="1"/>
    <n v="-7239"/>
  </r>
  <r>
    <x v="1"/>
    <n v="-10075"/>
  </r>
  <r>
    <x v="1"/>
    <n v="-17509"/>
  </r>
  <r>
    <x v="1"/>
    <n v="-24644"/>
  </r>
  <r>
    <x v="1"/>
    <n v="-1480"/>
  </r>
  <r>
    <x v="1"/>
    <n v="-24017"/>
  </r>
  <r>
    <x v="1"/>
    <n v="-23784"/>
  </r>
  <r>
    <x v="1"/>
    <n v="-24217"/>
  </r>
  <r>
    <x v="1"/>
    <n v="-24130"/>
  </r>
  <r>
    <x v="1"/>
    <n v="-26543"/>
  </r>
  <r>
    <x v="1"/>
    <n v="-15570"/>
  </r>
  <r>
    <x v="1"/>
    <n v="-28123"/>
  </r>
  <r>
    <x v="1"/>
    <n v="-31369"/>
  </r>
  <r>
    <x v="1"/>
    <n v="-11852"/>
  </r>
  <r>
    <x v="1"/>
    <n v="-4785"/>
  </r>
  <r>
    <x v="1"/>
    <n v="-10363"/>
  </r>
  <r>
    <x v="1"/>
    <n v="-17578"/>
  </r>
  <r>
    <x v="1"/>
    <n v="-22078"/>
  </r>
  <r>
    <x v="1"/>
    <n v="-23191"/>
  </r>
  <r>
    <x v="1"/>
    <n v="-23097"/>
  </r>
  <r>
    <x v="1"/>
    <n v="-23171"/>
  </r>
  <r>
    <x v="1"/>
    <n v="-21531"/>
  </r>
  <r>
    <x v="1"/>
    <n v="-24125"/>
  </r>
  <r>
    <x v="3"/>
    <n v="-15000"/>
  </r>
  <r>
    <x v="4"/>
    <n v="-6336000"/>
  </r>
  <r>
    <x v="1"/>
    <n v="-6200"/>
  </r>
  <r>
    <x v="1"/>
    <n v="-724"/>
  </r>
  <r>
    <x v="1"/>
    <n v="-12905"/>
  </r>
  <r>
    <x v="1"/>
    <n v="-50221"/>
  </r>
  <r>
    <x v="1"/>
    <n v="-29363"/>
  </r>
  <r>
    <x v="1"/>
    <n v="-2413"/>
  </r>
  <r>
    <x v="1"/>
    <n v="-6101"/>
  </r>
  <r>
    <x v="1"/>
    <n v="-18465"/>
  </r>
  <r>
    <x v="1"/>
    <n v="-13065"/>
  </r>
  <r>
    <x v="1"/>
    <n v="-41182"/>
  </r>
  <r>
    <x v="1"/>
    <n v="-33782"/>
  </r>
  <r>
    <x v="1"/>
    <n v="-20365"/>
  </r>
  <r>
    <x v="1"/>
    <n v="-6793"/>
  </r>
  <r>
    <x v="1"/>
    <n v="-5390"/>
  </r>
  <r>
    <x v="1"/>
    <n v="-21811"/>
  </r>
  <r>
    <x v="1"/>
    <n v="-22612"/>
  </r>
  <r>
    <x v="1"/>
    <n v="-25470"/>
  </r>
  <r>
    <x v="1"/>
    <n v="-23817"/>
  </r>
  <r>
    <x v="1"/>
    <n v="-24130"/>
  </r>
  <r>
    <x v="1"/>
    <n v="-25830"/>
  </r>
  <r>
    <x v="1"/>
    <n v="-23757"/>
  </r>
  <r>
    <x v="1"/>
    <n v="-29410"/>
  </r>
  <r>
    <x v="1"/>
    <n v="-25024"/>
  </r>
  <r>
    <x v="1"/>
    <n v="-23165"/>
  </r>
  <r>
    <x v="1"/>
    <n v="-23627"/>
  </r>
  <r>
    <x v="1"/>
    <n v="-31369"/>
  </r>
  <r>
    <x v="1"/>
    <n v="-31369"/>
  </r>
  <r>
    <x v="1"/>
    <n v="-33349"/>
  </r>
  <r>
    <x v="1"/>
    <n v="-35283"/>
  </r>
  <r>
    <x v="1"/>
    <n v="-40142"/>
  </r>
  <r>
    <x v="1"/>
    <n v="-24130"/>
  </r>
  <r>
    <x v="1"/>
    <n v="-21231"/>
  </r>
  <r>
    <x v="5"/>
    <n v="-16000"/>
  </r>
  <r>
    <x v="5"/>
    <n v="-20000"/>
  </r>
  <r>
    <x v="5"/>
    <n v="-15000"/>
  </r>
  <r>
    <x v="6"/>
    <n v="-84000"/>
  </r>
  <r>
    <x v="6"/>
    <n v="-48000"/>
  </r>
  <r>
    <x v="7"/>
    <n v="-21485"/>
  </r>
  <r>
    <x v="4"/>
    <n v="-6692.5"/>
  </r>
  <r>
    <x v="1"/>
    <n v="-4826"/>
  </r>
  <r>
    <x v="1"/>
    <n v="-50310"/>
  </r>
  <r>
    <x v="1"/>
    <n v="-15560"/>
  </r>
  <r>
    <x v="1"/>
    <n v="-16244"/>
  </r>
  <r>
    <x v="1"/>
    <n v="-84490"/>
  </r>
  <r>
    <x v="1"/>
    <n v="-11700"/>
  </r>
  <r>
    <x v="1"/>
    <n v="-1300"/>
  </r>
  <r>
    <x v="8"/>
    <n v="-9039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0">
  <r>
    <x v="0"/>
    <n v="-8332.5400000000009"/>
  </r>
  <r>
    <x v="0"/>
    <n v="-8336.64"/>
  </r>
  <r>
    <x v="0"/>
    <n v="-4960.8"/>
  </r>
  <r>
    <x v="0"/>
    <n v="-27007.38"/>
  </r>
  <r>
    <x v="1"/>
    <n v="-8974.5499999999993"/>
  </r>
  <r>
    <x v="1"/>
    <n v="-4527.53"/>
  </r>
  <r>
    <x v="1"/>
    <n v="-1282.26"/>
  </r>
  <r>
    <x v="1"/>
    <n v="-396.56"/>
  </r>
  <r>
    <x v="1"/>
    <n v="-6094.31"/>
  </r>
  <r>
    <x v="1"/>
    <n v="-2881.42"/>
  </r>
  <r>
    <x v="1"/>
    <n v="-5784.63"/>
  </r>
  <r>
    <x v="1"/>
    <n v="-4247.7299999999996"/>
  </r>
  <r>
    <x v="1"/>
    <n v="-2011.58"/>
  </r>
  <r>
    <x v="1"/>
    <n v="-171.73"/>
  </r>
  <r>
    <x v="2"/>
    <n v="-5396.26"/>
  </r>
  <r>
    <x v="3"/>
    <n v="-11391.63"/>
  </r>
  <r>
    <x v="1"/>
    <n v="-16613.79"/>
  </r>
  <r>
    <x v="1"/>
    <n v="-1008.16"/>
  </r>
  <r>
    <x v="1"/>
    <n v="-5000"/>
  </r>
  <r>
    <x v="1"/>
    <n v="-5000"/>
  </r>
  <r>
    <x v="4"/>
    <n v="-1698.93"/>
  </r>
  <r>
    <x v="2"/>
    <n v="181.8"/>
  </r>
  <r>
    <x v="3"/>
    <n v="2900"/>
  </r>
  <r>
    <x v="1"/>
    <n v="142.66"/>
  </r>
  <r>
    <x v="1"/>
    <n v="250.6"/>
  </r>
  <r>
    <x v="1"/>
    <n v="795.7"/>
  </r>
  <r>
    <x v="1"/>
    <n v="101.25"/>
  </r>
  <r>
    <x v="1"/>
    <n v="844.02"/>
  </r>
  <r>
    <x v="1"/>
    <n v="250.31"/>
  </r>
  <r>
    <x v="1"/>
    <n v="681.5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2">
  <r>
    <x v="0"/>
    <n v="-2000"/>
  </r>
  <r>
    <x v="1"/>
    <n v="-100"/>
  </r>
  <r>
    <x v="1"/>
    <n v="-200"/>
  </r>
  <r>
    <x v="1"/>
    <n v="-100"/>
  </r>
  <r>
    <x v="1"/>
    <n v="-100"/>
  </r>
  <r>
    <x v="1"/>
    <n v="-100"/>
  </r>
  <r>
    <x v="1"/>
    <n v="-80600"/>
  </r>
  <r>
    <x v="2"/>
    <n v="-10100"/>
  </r>
  <r>
    <x v="2"/>
    <n v="-2600"/>
  </r>
  <r>
    <x v="1"/>
    <n v="-300"/>
  </r>
  <r>
    <x v="1"/>
    <n v="-100"/>
  </r>
  <r>
    <x v="1"/>
    <n v="-2500"/>
  </r>
  <r>
    <x v="1"/>
    <n v="-200"/>
  </r>
  <r>
    <x v="1"/>
    <n v="-4700"/>
  </r>
  <r>
    <x v="1"/>
    <n v="-600"/>
  </r>
  <r>
    <x v="1"/>
    <n v="-100"/>
  </r>
  <r>
    <x v="1"/>
    <n v="-700"/>
  </r>
  <r>
    <x v="1"/>
    <n v="-100"/>
  </r>
  <r>
    <x v="1"/>
    <n v="-100"/>
  </r>
  <r>
    <x v="1"/>
    <n v="-36619"/>
  </r>
  <r>
    <x v="1"/>
    <n v="-14547.44"/>
  </r>
  <r>
    <x v="1"/>
    <n v="-12275.43"/>
  </r>
  <r>
    <x v="1"/>
    <n v="-2693.27"/>
  </r>
  <r>
    <x v="1"/>
    <n v="-2469.2800000000002"/>
  </r>
  <r>
    <x v="1"/>
    <n v="-2317.5100000000002"/>
  </r>
  <r>
    <x v="1"/>
    <n v="-2469.2800000000002"/>
  </r>
  <r>
    <x v="0"/>
    <n v="-200"/>
  </r>
  <r>
    <x v="0"/>
    <n v="-200"/>
  </r>
  <r>
    <x v="1"/>
    <n v="-8099.85"/>
  </r>
  <r>
    <x v="3"/>
    <n v="-33290"/>
  </r>
  <r>
    <x v="3"/>
    <n v="-14668.25"/>
  </r>
  <r>
    <x v="1"/>
    <n v="-4494.28"/>
  </r>
  <r>
    <x v="1"/>
    <n v="-2756.1"/>
  </r>
  <r>
    <x v="1"/>
    <n v="-11226.689999999999"/>
  </r>
  <r>
    <x v="4"/>
    <n v="-105598.36"/>
  </r>
  <r>
    <x v="4"/>
    <n v="-107777.82"/>
  </r>
  <r>
    <x v="4"/>
    <n v="-318902.94"/>
  </r>
  <r>
    <x v="1"/>
    <n v="-9539.3700000000008"/>
  </r>
  <r>
    <x v="1"/>
    <n v="-86.56000000000131"/>
  </r>
  <r>
    <x v="1"/>
    <n v="500"/>
  </r>
  <r>
    <x v="5"/>
    <n v="9774.39"/>
  </r>
  <r>
    <x v="3"/>
    <n v="2121.73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8">
  <r>
    <x v="0"/>
    <n v="42982"/>
  </r>
  <r>
    <x v="1"/>
    <n v="14598"/>
  </r>
  <r>
    <x v="2"/>
    <n v="490000"/>
  </r>
  <r>
    <x v="3"/>
    <n v="-546845.22"/>
  </r>
  <r>
    <x v="4"/>
    <n v="-249993.45"/>
  </r>
  <r>
    <x v="5"/>
    <n v="-1218777.3"/>
  </r>
  <r>
    <x v="4"/>
    <n v="-78525"/>
  </r>
  <r>
    <x v="6"/>
    <n v="-172441.85"/>
  </r>
  <r>
    <x v="3"/>
    <n v="-414311.61"/>
  </r>
  <r>
    <x v="4"/>
    <n v="-178082.28"/>
  </r>
  <r>
    <x v="5"/>
    <n v="-451301.5"/>
  </r>
  <r>
    <x v="4"/>
    <n v="-2800"/>
  </r>
  <r>
    <x v="4"/>
    <n v="-108990.8"/>
  </r>
  <r>
    <x v="6"/>
    <n v="-71582.91"/>
  </r>
  <r>
    <x v="5"/>
    <n v="-514423"/>
  </r>
  <r>
    <x v="4"/>
    <n v="-46435"/>
  </r>
  <r>
    <x v="4"/>
    <n v="-42982"/>
  </r>
  <r>
    <x v="3"/>
    <n v="-14598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33">
  <r>
    <x v="0"/>
    <n v="-3510.48"/>
  </r>
  <r>
    <x v="0"/>
    <n v="-33290"/>
  </r>
  <r>
    <x v="1"/>
    <n v="-197716.24"/>
  </r>
  <r>
    <x v="1"/>
    <n v="-2349"/>
  </r>
  <r>
    <x v="1"/>
    <n v="-297364.39"/>
  </r>
  <r>
    <x v="1"/>
    <n v="-397533.75"/>
  </r>
  <r>
    <x v="1"/>
    <n v="-214996.75"/>
  </r>
  <r>
    <x v="1"/>
    <n v="-12061.5"/>
  </r>
  <r>
    <x v="1"/>
    <n v="-80113.33"/>
  </r>
  <r>
    <x v="1"/>
    <n v="-67870.600000000006"/>
  </r>
  <r>
    <x v="2"/>
    <n v="-94750"/>
  </r>
  <r>
    <x v="3"/>
    <n v="-528936"/>
  </r>
  <r>
    <x v="0"/>
    <n v="-36073.699999999997"/>
  </r>
  <r>
    <x v="0"/>
    <n v="-3240"/>
  </r>
  <r>
    <x v="4"/>
    <n v="-27100"/>
  </r>
  <r>
    <x v="0"/>
    <n v="-6111.9"/>
  </r>
  <r>
    <x v="5"/>
    <n v="-6731.24"/>
  </r>
  <r>
    <x v="0"/>
    <n v="-1013.95"/>
  </r>
  <r>
    <x v="0"/>
    <n v="-3464.36"/>
  </r>
  <r>
    <x v="6"/>
    <n v="-3051.93"/>
  </r>
  <r>
    <x v="7"/>
    <n v="-10232.76"/>
  </r>
  <r>
    <x v="7"/>
    <n v="-63600"/>
  </r>
  <r>
    <x v="7"/>
    <n v="-75714.28"/>
  </r>
  <r>
    <x v="7"/>
    <n v="-133414.14000000001"/>
  </r>
  <r>
    <x v="8"/>
    <n v="-8353.17"/>
  </r>
  <r>
    <x v="7"/>
    <n v="-17035.72"/>
  </r>
  <r>
    <x v="9"/>
    <n v="-14930.3"/>
  </r>
  <r>
    <x v="6"/>
    <n v="-24379"/>
  </r>
  <r>
    <x v="9"/>
    <n v="-789.76"/>
  </r>
  <r>
    <x v="9"/>
    <n v="-4818.5"/>
  </r>
  <r>
    <x v="9"/>
    <n v="3200"/>
  </r>
  <r>
    <x v="10"/>
    <n v="2900"/>
  </r>
  <r>
    <x v="9"/>
    <n v="3200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26">
  <r>
    <x v="0"/>
    <n v="16662.34"/>
  </r>
  <r>
    <x v="1"/>
    <n v="-114334.86"/>
  </r>
  <r>
    <x v="1"/>
    <n v="-5000"/>
  </r>
  <r>
    <x v="2"/>
    <n v="-500"/>
  </r>
  <r>
    <x v="1"/>
    <n v="-1000"/>
  </r>
  <r>
    <x v="1"/>
    <n v="-5000"/>
  </r>
  <r>
    <x v="2"/>
    <n v="-29650"/>
  </r>
  <r>
    <x v="2"/>
    <n v="-25614.29"/>
  </r>
  <r>
    <x v="0"/>
    <n v="-11045.45"/>
  </r>
  <r>
    <x v="3"/>
    <n v="-6049.01"/>
  </r>
  <r>
    <x v="1"/>
    <n v="-1710.77"/>
  </r>
  <r>
    <x v="1"/>
    <n v="-25500.21"/>
  </r>
  <r>
    <x v="1"/>
    <n v="-3179.28"/>
  </r>
  <r>
    <x v="1"/>
    <n v="-2368.02"/>
  </r>
  <r>
    <x v="1"/>
    <n v="-11660"/>
  </r>
  <r>
    <x v="1"/>
    <n v="-26151.62"/>
  </r>
  <r>
    <x v="1"/>
    <n v="-10000"/>
  </r>
  <r>
    <x v="1"/>
    <n v="-700"/>
  </r>
  <r>
    <x v="2"/>
    <n v="-60000"/>
  </r>
  <r>
    <x v="1"/>
    <n v="-200"/>
  </r>
  <r>
    <x v="1"/>
    <n v="-4938.5600000000004"/>
  </r>
  <r>
    <x v="4"/>
    <n v="-40000"/>
  </r>
  <r>
    <x v="1"/>
    <n v="-14849.93"/>
  </r>
  <r>
    <x v="4"/>
    <n v="-16000"/>
  </r>
  <r>
    <x v="4"/>
    <n v="-20000"/>
  </r>
  <r>
    <x v="5"/>
    <n v="-537349.92000000004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5">
  <r>
    <x v="0"/>
    <x v="0"/>
  </r>
  <r>
    <x v="0"/>
    <x v="1"/>
  </r>
  <r>
    <x v="1"/>
    <x v="2"/>
  </r>
  <r>
    <x v="2"/>
    <x v="3"/>
  </r>
  <r>
    <x v="0"/>
    <x v="4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5">
  <r>
    <x v="0"/>
    <n v="-169875"/>
  </r>
  <r>
    <x v="1"/>
    <n v="-1023250.45"/>
  </r>
  <r>
    <x v="2"/>
    <n v="-62406"/>
  </r>
  <r>
    <x v="3"/>
    <n v="-51570"/>
  </r>
  <r>
    <x v="4"/>
    <n v="-832627"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85">
  <r>
    <x v="0"/>
    <n v="-16645"/>
  </r>
  <r>
    <x v="0"/>
    <n v="-5000"/>
  </r>
  <r>
    <x v="1"/>
    <n v="-12050"/>
  </r>
  <r>
    <x v="1"/>
    <n v="-430"/>
  </r>
  <r>
    <x v="1"/>
    <n v="-1371"/>
  </r>
  <r>
    <x v="1"/>
    <n v="-3162"/>
  </r>
  <r>
    <x v="1"/>
    <n v="-2054"/>
  </r>
  <r>
    <x v="1"/>
    <n v="-6746"/>
  </r>
  <r>
    <x v="1"/>
    <n v="-6668"/>
  </r>
  <r>
    <x v="1"/>
    <n v="-3100"/>
  </r>
  <r>
    <x v="0"/>
    <n v="-33848"/>
  </r>
  <r>
    <x v="2"/>
    <n v="-1404000"/>
  </r>
  <r>
    <x v="3"/>
    <n v="-2700"/>
  </r>
  <r>
    <x v="4"/>
    <n v="-83200"/>
  </r>
  <r>
    <x v="5"/>
    <n v="-72000"/>
  </r>
  <r>
    <x v="5"/>
    <n v="-65850"/>
  </r>
  <r>
    <x v="6"/>
    <n v="-5655"/>
  </r>
  <r>
    <x v="4"/>
    <n v="-209600"/>
  </r>
  <r>
    <x v="5"/>
    <n v="-10400"/>
  </r>
  <r>
    <x v="5"/>
    <n v="-129600"/>
  </r>
  <r>
    <x v="2"/>
    <n v="-150000"/>
  </r>
  <r>
    <x v="2"/>
    <n v="-40000"/>
  </r>
  <r>
    <x v="2"/>
    <n v="-729621.5"/>
  </r>
  <r>
    <x v="7"/>
    <n v="-52100"/>
  </r>
  <r>
    <x v="2"/>
    <n v="-90137"/>
  </r>
  <r>
    <x v="7"/>
    <n v="-685"/>
  </r>
  <r>
    <x v="2"/>
    <n v="-104000"/>
  </r>
  <r>
    <x v="8"/>
    <n v="-34"/>
  </r>
  <r>
    <x v="2"/>
    <n v="-970600"/>
  </r>
  <r>
    <x v="2"/>
    <n v="-20000"/>
  </r>
  <r>
    <x v="1"/>
    <n v="-3662"/>
  </r>
  <r>
    <x v="1"/>
    <n v="-35800"/>
  </r>
  <r>
    <x v="1"/>
    <n v="-26000"/>
  </r>
  <r>
    <x v="1"/>
    <n v="-32400"/>
  </r>
  <r>
    <x v="1"/>
    <n v="-45600"/>
  </r>
  <r>
    <x v="1"/>
    <n v="-16075"/>
  </r>
  <r>
    <x v="1"/>
    <n v="-4496"/>
  </r>
  <r>
    <x v="1"/>
    <n v="-16241"/>
  </r>
  <r>
    <x v="1"/>
    <n v="-24150"/>
  </r>
  <r>
    <x v="1"/>
    <n v="-7886"/>
  </r>
  <r>
    <x v="1"/>
    <n v="-22191"/>
  </r>
  <r>
    <x v="1"/>
    <n v="-12533"/>
  </r>
  <r>
    <x v="5"/>
    <n v="-188005"/>
  </r>
  <r>
    <x v="4"/>
    <n v="-3"/>
  </r>
  <r>
    <x v="2"/>
    <n v="-40000"/>
  </r>
  <r>
    <x v="2"/>
    <n v="-10000"/>
  </r>
  <r>
    <x v="1"/>
    <n v="-39485"/>
  </r>
  <r>
    <x v="1"/>
    <n v="-162"/>
  </r>
  <r>
    <x v="1"/>
    <n v="-4350"/>
  </r>
  <r>
    <x v="1"/>
    <n v="-28452"/>
  </r>
  <r>
    <x v="7"/>
    <n v="-76800"/>
  </r>
  <r>
    <x v="5"/>
    <n v="-2925"/>
  </r>
  <r>
    <x v="1"/>
    <n v="-78645"/>
  </r>
  <r>
    <x v="1"/>
    <n v="-65805"/>
  </r>
  <r>
    <x v="1"/>
    <n v="-78800"/>
  </r>
  <r>
    <x v="1"/>
    <n v="-7584"/>
  </r>
  <r>
    <x v="1"/>
    <n v="-61806"/>
  </r>
  <r>
    <x v="1"/>
    <n v="-49238"/>
  </r>
  <r>
    <x v="1"/>
    <n v="-80410"/>
  </r>
  <r>
    <x v="1"/>
    <n v="-37636"/>
  </r>
  <r>
    <x v="1"/>
    <n v="-462"/>
  </r>
  <r>
    <x v="1"/>
    <n v="-18458"/>
  </r>
  <r>
    <x v="1"/>
    <n v="-26660"/>
  </r>
  <r>
    <x v="1"/>
    <n v="-36188"/>
  </r>
  <r>
    <x v="1"/>
    <n v="-54510"/>
  </r>
  <r>
    <x v="1"/>
    <n v="-27690"/>
  </r>
  <r>
    <x v="1"/>
    <n v="-26392"/>
  </r>
  <r>
    <x v="1"/>
    <n v="-170630"/>
  </r>
  <r>
    <x v="1"/>
    <n v="-25038"/>
  </r>
  <r>
    <x v="1"/>
    <n v="-17840"/>
  </r>
  <r>
    <x v="1"/>
    <n v="-110150"/>
  </r>
  <r>
    <x v="1"/>
    <n v="-40574"/>
  </r>
  <r>
    <x v="1"/>
    <n v="-52761"/>
  </r>
  <r>
    <x v="1"/>
    <n v="-21700"/>
  </r>
  <r>
    <x v="1"/>
    <n v="-29377"/>
  </r>
  <r>
    <x v="1"/>
    <n v="-7000"/>
  </r>
  <r>
    <x v="1"/>
    <n v="-8701.2800000000007"/>
  </r>
  <r>
    <x v="1"/>
    <n v="-11640"/>
  </r>
  <r>
    <x v="1"/>
    <n v="-4900"/>
  </r>
  <r>
    <x v="1"/>
    <n v="-13900"/>
  </r>
  <r>
    <x v="1"/>
    <n v="-3600"/>
  </r>
  <r>
    <x v="2"/>
    <n v="-225000"/>
  </r>
  <r>
    <x v="9"/>
    <n v="2900"/>
  </r>
  <r>
    <x v="0"/>
    <n v="5522.73"/>
  </r>
  <r>
    <x v="0"/>
    <n v="2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13" firstHeaderRow="1" firstDataRow="1" firstDataCol="1"/>
  <pivotFields count="2">
    <pivotField axis="axisRow" showAll="0">
      <items count="10">
        <item x="0"/>
        <item x="5"/>
        <item x="2"/>
        <item x="4"/>
        <item x="3"/>
        <item x="1"/>
        <item x="7"/>
        <item x="6"/>
        <item x="8"/>
        <item t="default"/>
      </items>
    </pivotField>
    <pivotField dataField="1" numFmtId="43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 777,131.79 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10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I74:J78" firstHeaderRow="1" firstDataRow="1" firstDataCol="1"/>
  <pivotFields count="2">
    <pivotField axis="axisRow" showAll="0">
      <items count="4">
        <item x="1"/>
        <item x="2"/>
        <item x="0"/>
        <item t="default"/>
      </items>
    </pivotField>
    <pivotField dataField="1" numFmtId="43" showAll="0">
      <items count="6">
        <item x="2"/>
        <item x="3"/>
        <item x="4"/>
        <item x="0"/>
        <item x="1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-2,580,493.27 " fld="1" baseField="0" baseItem="0"/>
  </dataFields>
  <formats count="8">
    <format dxfId="108">
      <pivotArea collapsedLevelsAreSubtotals="1" fieldPosition="0">
        <references count="1">
          <reference field="0" count="0"/>
        </references>
      </pivotArea>
    </format>
    <format dxfId="107">
      <pivotArea grandRow="1" outline="0" collapsedLevelsAreSubtotals="1" fieldPosition="0"/>
    </format>
    <format dxfId="106">
      <pivotArea collapsedLevelsAreSubtotals="1" fieldPosition="0">
        <references count="1">
          <reference field="0" count="1">
            <x v="0"/>
          </reference>
        </references>
      </pivotArea>
    </format>
    <format dxfId="105">
      <pivotArea dataOnly="0" labelOnly="1" fieldPosition="0">
        <references count="1">
          <reference field="0" count="1">
            <x v="0"/>
          </reference>
        </references>
      </pivotArea>
    </format>
    <format dxfId="104">
      <pivotArea collapsedLevelsAreSubtotals="1" fieldPosition="0">
        <references count="1">
          <reference field="0" count="1">
            <x v="1"/>
          </reference>
        </references>
      </pivotArea>
    </format>
    <format dxfId="103">
      <pivotArea dataOnly="0" labelOnly="1" fieldPosition="0">
        <references count="1">
          <reference field="0" count="1">
            <x v="1"/>
          </reference>
        </references>
      </pivotArea>
    </format>
    <format dxfId="102">
      <pivotArea collapsedLevelsAreSubtotals="1" fieldPosition="0">
        <references count="1">
          <reference field="0" count="1">
            <x v="2"/>
          </reference>
        </references>
      </pivotArea>
    </format>
    <format dxfId="101">
      <pivotArea dataOnly="0" labelOnly="1" fieldPosition="0">
        <references count="1">
          <reference field="0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C11:D17" firstHeaderRow="1" firstDataRow="1" firstDataCol="1"/>
  <pivotFields count="2">
    <pivotField axis="axisRow" showAll="0">
      <items count="6">
        <item x="3"/>
        <item x="2"/>
        <item x="0"/>
        <item x="4"/>
        <item x="1"/>
        <item t="default"/>
      </items>
    </pivotField>
    <pivotField dataField="1" numFmtId="43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-124,970.56 " fld="1" baseField="0" baseItem="0"/>
  </dataFields>
  <formats count="6">
    <format dxfId="114">
      <pivotArea collapsedLevelsAreSubtotals="1" fieldPosition="0">
        <references count="1">
          <reference field="0" count="3">
            <x v="0"/>
            <x v="1"/>
            <x v="2"/>
          </reference>
        </references>
      </pivotArea>
    </format>
    <format dxfId="113">
      <pivotArea dataOnly="0" labelOnly="1" fieldPosition="0">
        <references count="1">
          <reference field="0" count="3">
            <x v="0"/>
            <x v="1"/>
            <x v="2"/>
          </reference>
        </references>
      </pivotArea>
    </format>
    <format dxfId="112">
      <pivotArea collapsedLevelsAreSubtotals="1" fieldPosition="0">
        <references count="1">
          <reference field="0" count="1">
            <x v="3"/>
          </reference>
        </references>
      </pivotArea>
    </format>
    <format dxfId="111">
      <pivotArea dataOnly="0" labelOnly="1" fieldPosition="0">
        <references count="1">
          <reference field="0" count="1">
            <x v="3"/>
          </reference>
        </references>
      </pivotArea>
    </format>
    <format dxfId="110">
      <pivotArea collapsedLevelsAreSubtotals="1" fieldPosition="0">
        <references count="1">
          <reference field="0" count="1">
            <x v="4"/>
          </reference>
        </references>
      </pivotArea>
    </format>
    <format dxfId="109">
      <pivotArea dataOnly="0" labelOnly="1" fieldPosition="0">
        <references count="1">
          <reference field="0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01:N111" firstHeaderRow="1" firstDataRow="1" firstDataCol="1"/>
  <pivotFields count="2">
    <pivotField axis="axisRow" showAll="0">
      <items count="10">
        <item x="0"/>
        <item x="2"/>
        <item x="1"/>
        <item x="3"/>
        <item x="7"/>
        <item x="6"/>
        <item x="8"/>
        <item x="5"/>
        <item x="4"/>
        <item t="default"/>
      </items>
    </pivotField>
    <pivotField dataField="1" numFmtId="43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 10,965,887.49 " fld="1" baseField="0" baseItem="0"/>
  </dataFields>
  <formats count="19">
    <format dxfId="133">
      <pivotArea collapsedLevelsAreSubtotals="1" fieldPosition="0">
        <references count="1">
          <reference field="0" count="0"/>
        </references>
      </pivotArea>
    </format>
    <format dxfId="132">
      <pivotArea grandRow="1" outline="0" collapsedLevelsAreSubtotals="1" fieldPosition="0"/>
    </format>
    <format dxfId="131">
      <pivotArea collapsedLevelsAreSubtotals="1" fieldPosition="0">
        <references count="1">
          <reference field="0" count="0"/>
        </references>
      </pivotArea>
    </format>
    <format dxfId="130">
      <pivotArea dataOnly="0" labelOnly="1" fieldPosition="0">
        <references count="1">
          <reference field="0" count="0"/>
        </references>
      </pivotArea>
    </format>
    <format dxfId="129">
      <pivotArea collapsedLevelsAreSubtotals="1" fieldPosition="0">
        <references count="1">
          <reference field="0" count="1">
            <x v="0"/>
          </reference>
        </references>
      </pivotArea>
    </format>
    <format dxfId="128">
      <pivotArea dataOnly="0" labelOnly="1" fieldPosition="0">
        <references count="1">
          <reference field="0" count="1">
            <x v="0"/>
          </reference>
        </references>
      </pivotArea>
    </format>
    <format dxfId="127">
      <pivotArea dataOnly="0" fieldPosition="0">
        <references count="1">
          <reference field="0" count="1">
            <x v="1"/>
          </reference>
        </references>
      </pivotArea>
    </format>
    <format dxfId="126">
      <pivotArea dataOnly="0" fieldPosition="0">
        <references count="1">
          <reference field="0" count="1">
            <x v="2"/>
          </reference>
        </references>
      </pivotArea>
    </format>
    <format dxfId="125">
      <pivotArea collapsedLevelsAreSubtotals="1" fieldPosition="0">
        <references count="1">
          <reference field="0" count="1">
            <x v="3"/>
          </reference>
        </references>
      </pivotArea>
    </format>
    <format dxfId="124">
      <pivotArea dataOnly="0" labelOnly="1" fieldPosition="0">
        <references count="1">
          <reference field="0" count="1">
            <x v="3"/>
          </reference>
        </references>
      </pivotArea>
    </format>
    <format dxfId="123">
      <pivotArea dataOnly="0" fieldPosition="0">
        <references count="1">
          <reference field="0" count="1">
            <x v="4"/>
          </reference>
        </references>
      </pivotArea>
    </format>
    <format dxfId="122">
      <pivotArea collapsedLevelsAreSubtotals="1" fieldPosition="0">
        <references count="1">
          <reference field="0" count="1">
            <x v="5"/>
          </reference>
        </references>
      </pivotArea>
    </format>
    <format dxfId="121">
      <pivotArea dataOnly="0" labelOnly="1" fieldPosition="0">
        <references count="1">
          <reference field="0" count="1">
            <x v="5"/>
          </reference>
        </references>
      </pivotArea>
    </format>
    <format dxfId="120">
      <pivotArea collapsedLevelsAreSubtotals="1" fieldPosition="0">
        <references count="1">
          <reference field="0" count="1">
            <x v="6"/>
          </reference>
        </references>
      </pivotArea>
    </format>
    <format dxfId="119">
      <pivotArea dataOnly="0" labelOnly="1" fieldPosition="0">
        <references count="1">
          <reference field="0" count="1">
            <x v="6"/>
          </reference>
        </references>
      </pivotArea>
    </format>
    <format dxfId="118">
      <pivotArea collapsedLevelsAreSubtotals="1" fieldPosition="0">
        <references count="1">
          <reference field="0" count="1">
            <x v="7"/>
          </reference>
        </references>
      </pivotArea>
    </format>
    <format dxfId="117">
      <pivotArea dataOnly="0" labelOnly="1" fieldPosition="0">
        <references count="1">
          <reference field="0" count="1">
            <x v="7"/>
          </reference>
        </references>
      </pivotArea>
    </format>
    <format dxfId="116">
      <pivotArea collapsedLevelsAreSubtotals="1" fieldPosition="0">
        <references count="1">
          <reference field="0" count="1">
            <x v="8"/>
          </reference>
        </references>
      </pivotArea>
    </format>
    <format dxfId="115">
      <pivotArea dataOnly="0" labelOnly="1" fieldPosition="0">
        <references count="1">
          <reference field="0" count="1"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1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24:N134" firstHeaderRow="1" firstDataRow="1" firstDataCol="1"/>
  <pivotFields count="2">
    <pivotField axis="axisRow" showAll="0">
      <items count="10">
        <item x="0"/>
        <item x="1"/>
        <item x="4"/>
        <item x="2"/>
        <item x="3"/>
        <item x="7"/>
        <item x="8"/>
        <item x="5"/>
        <item x="6"/>
        <item t="default"/>
      </items>
    </pivotField>
    <pivotField dataField="1" numFmtId="43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-8,817,353.10 " fld="1" baseField="0" baseItem="0"/>
  </dataFields>
  <formats count="18">
    <format dxfId="17">
      <pivotArea collapsedLevelsAreSubtotals="1" fieldPosition="0">
        <references count="1">
          <reference field="0" count="0"/>
        </references>
      </pivotArea>
    </format>
    <format dxfId="16">
      <pivotArea grandRow="1" outline="0" collapsedLevelsAreSubtotals="1" fieldPosition="0"/>
    </format>
    <format dxfId="15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14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13">
      <pivotArea collapsedLevelsAreSubtotals="1" fieldPosition="0">
        <references count="1">
          <reference field="0" count="1">
            <x v="2"/>
          </reference>
        </references>
      </pivotArea>
    </format>
    <format dxfId="12">
      <pivotArea dataOnly="0" labelOnly="1" fieldPosition="0">
        <references count="1">
          <reference field="0" count="1">
            <x v="2"/>
          </reference>
        </references>
      </pivotArea>
    </format>
    <format dxfId="11">
      <pivotArea collapsedLevelsAreSubtotals="1" fieldPosition="0">
        <references count="1">
          <reference field="0" count="1">
            <x v="3"/>
          </reference>
        </references>
      </pivotArea>
    </format>
    <format dxfId="10">
      <pivotArea dataOnly="0" labelOnly="1" fieldPosition="0">
        <references count="1">
          <reference field="0" count="1">
            <x v="3"/>
          </reference>
        </references>
      </pivotArea>
    </format>
    <format dxfId="9">
      <pivotArea collapsedLevelsAreSubtotals="1" fieldPosition="0">
        <references count="1">
          <reference field="0" count="1">
            <x v="4"/>
          </reference>
        </references>
      </pivotArea>
    </format>
    <format dxfId="8">
      <pivotArea dataOnly="0" labelOnly="1" fieldPosition="0">
        <references count="1">
          <reference field="0" count="1">
            <x v="4"/>
          </reference>
        </references>
      </pivotArea>
    </format>
    <format dxfId="7">
      <pivotArea collapsedLevelsAreSubtotals="1" fieldPosition="0">
        <references count="1">
          <reference field="0" count="1">
            <x v="5"/>
          </reference>
        </references>
      </pivotArea>
    </format>
    <format dxfId="6">
      <pivotArea dataOnly="0" labelOnly="1" fieldPosition="0">
        <references count="1">
          <reference field="0" count="1">
            <x v="5"/>
          </reference>
        </references>
      </pivotArea>
    </format>
    <format dxfId="5">
      <pivotArea collapsedLevelsAreSubtotals="1" fieldPosition="0">
        <references count="1">
          <reference field="0" count="1">
            <x v="6"/>
          </reference>
        </references>
      </pivotArea>
    </format>
    <format dxfId="4">
      <pivotArea dataOnly="0" labelOnly="1" fieldPosition="0">
        <references count="1">
          <reference field="0" count="1">
            <x v="6"/>
          </reference>
        </references>
      </pivotArea>
    </format>
    <format dxfId="3">
      <pivotArea collapsedLevelsAreSubtotals="1" fieldPosition="0">
        <references count="1">
          <reference field="0" count="1">
            <x v="7"/>
          </reference>
        </references>
      </pivotArea>
    </format>
    <format dxfId="2">
      <pivotArea dataOnly="0" labelOnly="1" fieldPosition="0">
        <references count="1">
          <reference field="0" count="1">
            <x v="7"/>
          </reference>
        </references>
      </pivotArea>
    </format>
    <format dxfId="1">
      <pivotArea collapsedLevelsAreSubtotals="1" fieldPosition="0">
        <references count="1">
          <reference field="0" count="1">
            <x v="8"/>
          </reference>
        </references>
      </pivotArea>
    </format>
    <format dxfId="0">
      <pivotArea dataOnly="0" labelOnly="1" fieldPosition="0">
        <references count="1">
          <reference field="0" count="1"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8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9:I21" firstHeaderRow="1" firstDataRow="1" firstDataCol="1"/>
  <pivotFields count="2">
    <pivotField axis="axisRow" showAll="0">
      <items count="12">
        <item x="10"/>
        <item x="9"/>
        <item x="4"/>
        <item x="7"/>
        <item x="8"/>
        <item x="5"/>
        <item x="0"/>
        <item x="3"/>
        <item x="2"/>
        <item x="1"/>
        <item x="6"/>
        <item t="default"/>
      </items>
    </pivotField>
    <pivotField dataField="1" numFmtId="43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Sum of -2,361,246.75 " fld="1" baseField="0" baseItem="0"/>
  </dataFields>
  <formats count="20">
    <format dxfId="37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36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35">
      <pivotArea collapsedLevelsAreSubtotals="1" fieldPosition="0">
        <references count="1">
          <reference field="0" count="1">
            <x v="2"/>
          </reference>
        </references>
      </pivotArea>
    </format>
    <format dxfId="34">
      <pivotArea dataOnly="0" labelOnly="1" fieldPosition="0">
        <references count="1">
          <reference field="0" count="1">
            <x v="2"/>
          </reference>
        </references>
      </pivotArea>
    </format>
    <format dxfId="33">
      <pivotArea collapsedLevelsAreSubtotals="1" fieldPosition="0">
        <references count="1">
          <reference field="0" count="1">
            <x v="3"/>
          </reference>
        </references>
      </pivotArea>
    </format>
    <format dxfId="32">
      <pivotArea dataOnly="0" labelOnly="1" fieldPosition="0">
        <references count="1">
          <reference field="0" count="1">
            <x v="3"/>
          </reference>
        </references>
      </pivotArea>
    </format>
    <format dxfId="31">
      <pivotArea collapsedLevelsAreSubtotals="1" fieldPosition="0">
        <references count="1">
          <reference field="0" count="1">
            <x v="4"/>
          </reference>
        </references>
      </pivotArea>
    </format>
    <format dxfId="30">
      <pivotArea dataOnly="0" labelOnly="1" fieldPosition="0">
        <references count="1">
          <reference field="0" count="1">
            <x v="4"/>
          </reference>
        </references>
      </pivotArea>
    </format>
    <format dxfId="29">
      <pivotArea collapsedLevelsAreSubtotals="1" fieldPosition="0">
        <references count="1">
          <reference field="0" count="1">
            <x v="5"/>
          </reference>
        </references>
      </pivotArea>
    </format>
    <format dxfId="28">
      <pivotArea dataOnly="0" labelOnly="1" fieldPosition="0">
        <references count="1">
          <reference field="0" count="1">
            <x v="5"/>
          </reference>
        </references>
      </pivotArea>
    </format>
    <format dxfId="27">
      <pivotArea collapsedLevelsAreSubtotals="1" fieldPosition="0">
        <references count="1">
          <reference field="0" count="1">
            <x v="6"/>
          </reference>
        </references>
      </pivotArea>
    </format>
    <format dxfId="26">
      <pivotArea dataOnly="0" labelOnly="1" fieldPosition="0">
        <references count="1">
          <reference field="0" count="1">
            <x v="6"/>
          </reference>
        </references>
      </pivotArea>
    </format>
    <format dxfId="25">
      <pivotArea collapsedLevelsAreSubtotals="1" fieldPosition="0">
        <references count="1">
          <reference field="0" count="1">
            <x v="7"/>
          </reference>
        </references>
      </pivotArea>
    </format>
    <format dxfId="24">
      <pivotArea dataOnly="0" labelOnly="1" fieldPosition="0">
        <references count="1">
          <reference field="0" count="1">
            <x v="7"/>
          </reference>
        </references>
      </pivotArea>
    </format>
    <format dxfId="23">
      <pivotArea collapsedLevelsAreSubtotals="1" fieldPosition="0">
        <references count="1">
          <reference field="0" count="1">
            <x v="8"/>
          </reference>
        </references>
      </pivotArea>
    </format>
    <format dxfId="22">
      <pivotArea dataOnly="0" labelOnly="1" fieldPosition="0">
        <references count="1">
          <reference field="0" count="1">
            <x v="8"/>
          </reference>
        </references>
      </pivotArea>
    </format>
    <format dxfId="21">
      <pivotArea collapsedLevelsAreSubtotals="1" fieldPosition="0">
        <references count="1">
          <reference field="0" count="1">
            <x v="9"/>
          </reference>
        </references>
      </pivotArea>
    </format>
    <format dxfId="20">
      <pivotArea dataOnly="0" labelOnly="1" fieldPosition="0">
        <references count="1">
          <reference field="0" count="1">
            <x v="9"/>
          </reference>
        </references>
      </pivotArea>
    </format>
    <format dxfId="19">
      <pivotArea collapsedLevelsAreSubtotals="1" fieldPosition="0">
        <references count="1">
          <reference field="0" count="1">
            <x v="10"/>
          </reference>
        </references>
      </pivotArea>
    </format>
    <format dxfId="18">
      <pivotArea dataOnly="0" labelOnly="1" fieldPosition="0">
        <references count="1">
          <reference field="0" count="1">
            <x v="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9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44:I51" firstHeaderRow="1" firstDataRow="1" firstDataCol="1"/>
  <pivotFields count="2">
    <pivotField axis="axisRow" showAll="0">
      <items count="7">
        <item x="1"/>
        <item x="2"/>
        <item x="3"/>
        <item x="4"/>
        <item x="0"/>
        <item x="5"/>
        <item t="default"/>
      </items>
    </pivotField>
    <pivotField dataField="1" numFmtId="43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-956,139.58 " fld="1" baseField="0" baseItem="0" numFmtId="43"/>
  </dataFields>
  <formats count="13">
    <format dxfId="50">
      <pivotArea outline="0" collapsedLevelsAreSubtotals="1" fieldPosition="0"/>
    </format>
    <format dxfId="49">
      <pivotArea dataOnly="0" labelOnly="1" outline="0" axis="axisValues" fieldPosition="0"/>
    </format>
    <format dxfId="48">
      <pivotArea collapsedLevelsAreSubtotals="1" fieldPosition="0">
        <references count="1">
          <reference field="0" count="1">
            <x v="0"/>
          </reference>
        </references>
      </pivotArea>
    </format>
    <format dxfId="47">
      <pivotArea dataOnly="0" labelOnly="1" fieldPosition="0">
        <references count="1">
          <reference field="0" count="1">
            <x v="0"/>
          </reference>
        </references>
      </pivotArea>
    </format>
    <format dxfId="46">
      <pivotArea dataOnly="0" fieldPosition="0">
        <references count="1">
          <reference field="0" count="1">
            <x v="1"/>
          </reference>
        </references>
      </pivotArea>
    </format>
    <format dxfId="45">
      <pivotArea collapsedLevelsAreSubtotals="1" fieldPosition="0">
        <references count="1">
          <reference field="0" count="1">
            <x v="2"/>
          </reference>
        </references>
      </pivotArea>
    </format>
    <format dxfId="44">
      <pivotArea dataOnly="0" labelOnly="1" fieldPosition="0">
        <references count="1">
          <reference field="0" count="1">
            <x v="2"/>
          </reference>
        </references>
      </pivotArea>
    </format>
    <format dxfId="43">
      <pivotArea collapsedLevelsAreSubtotals="1" fieldPosition="0">
        <references count="1">
          <reference field="0" count="1">
            <x v="3"/>
          </reference>
        </references>
      </pivotArea>
    </format>
    <format dxfId="42">
      <pivotArea dataOnly="0" labelOnly="1" fieldPosition="0">
        <references count="1">
          <reference field="0" count="1">
            <x v="3"/>
          </reference>
        </references>
      </pivotArea>
    </format>
    <format dxfId="41">
      <pivotArea collapsedLevelsAreSubtotals="1" fieldPosition="0">
        <references count="1">
          <reference field="0" count="1">
            <x v="4"/>
          </reference>
        </references>
      </pivotArea>
    </format>
    <format dxfId="40">
      <pivotArea dataOnly="0" labelOnly="1" fieldPosition="0">
        <references count="1">
          <reference field="0" count="1">
            <x v="4"/>
          </reference>
        </references>
      </pivotArea>
    </format>
    <format dxfId="39">
      <pivotArea collapsedLevelsAreSubtotals="1" fieldPosition="0">
        <references count="1">
          <reference field="0" count="1">
            <x v="5"/>
          </reference>
        </references>
      </pivotArea>
    </format>
    <format dxfId="38">
      <pivotArea dataOnly="0" labelOnly="1" fieldPosition="0">
        <references count="1">
          <reference field="0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6" cacheId="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0:N21" firstHeaderRow="1" firstDataRow="1" firstDataCol="1"/>
  <pivotFields count="2">
    <pivotField axis="axisRow" showAll="0">
      <items count="11">
        <item x="9"/>
        <item x="1"/>
        <item x="5"/>
        <item x="8"/>
        <item x="6"/>
        <item x="3"/>
        <item x="0"/>
        <item x="2"/>
        <item x="7"/>
        <item x="4"/>
        <item t="default"/>
      </items>
    </pivotField>
    <pivotField dataField="1" numFmtId="43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-6,252,875.05 " fld="1" baseField="0" baseItem="0" numFmtId="43"/>
  </dataFields>
  <formats count="21">
    <format dxfId="71">
      <pivotArea outline="0" collapsedLevelsAreSubtotals="1" fieldPosition="0"/>
    </format>
    <format dxfId="70">
      <pivotArea collapsedLevelsAreSubtotals="1" fieldPosition="0">
        <references count="1">
          <reference field="0" count="1">
            <x v="0"/>
          </reference>
        </references>
      </pivotArea>
    </format>
    <format dxfId="69">
      <pivotArea dataOnly="0" labelOnly="1" fieldPosition="0">
        <references count="1">
          <reference field="0" count="1">
            <x v="0"/>
          </reference>
        </references>
      </pivotArea>
    </format>
    <format dxfId="68">
      <pivotArea collapsedLevelsAreSubtotals="1" fieldPosition="0">
        <references count="1">
          <reference field="0" count="1">
            <x v="1"/>
          </reference>
        </references>
      </pivotArea>
    </format>
    <format dxfId="67">
      <pivotArea dataOnly="0" labelOnly="1" fieldPosition="0">
        <references count="1">
          <reference field="0" count="1">
            <x v="1"/>
          </reference>
        </references>
      </pivotArea>
    </format>
    <format dxfId="66">
      <pivotArea collapsedLevelsAreSubtotals="1" fieldPosition="0">
        <references count="1">
          <reference field="0" count="1">
            <x v="2"/>
          </reference>
        </references>
      </pivotArea>
    </format>
    <format dxfId="65">
      <pivotArea dataOnly="0" labelOnly="1" fieldPosition="0">
        <references count="1">
          <reference field="0" count="1">
            <x v="2"/>
          </reference>
        </references>
      </pivotArea>
    </format>
    <format dxfId="64">
      <pivotArea collapsedLevelsAreSubtotals="1" fieldPosition="0">
        <references count="1">
          <reference field="0" count="1">
            <x v="3"/>
          </reference>
        </references>
      </pivotArea>
    </format>
    <format dxfId="63">
      <pivotArea dataOnly="0" labelOnly="1" fieldPosition="0">
        <references count="1">
          <reference field="0" count="1">
            <x v="3"/>
          </reference>
        </references>
      </pivotArea>
    </format>
    <format dxfId="62">
      <pivotArea collapsedLevelsAreSubtotals="1" fieldPosition="0">
        <references count="1">
          <reference field="0" count="1">
            <x v="4"/>
          </reference>
        </references>
      </pivotArea>
    </format>
    <format dxfId="61">
      <pivotArea dataOnly="0" labelOnly="1" fieldPosition="0">
        <references count="1">
          <reference field="0" count="1">
            <x v="4"/>
          </reference>
        </references>
      </pivotArea>
    </format>
    <format dxfId="60">
      <pivotArea collapsedLevelsAreSubtotals="1" fieldPosition="0">
        <references count="1">
          <reference field="0" count="1">
            <x v="5"/>
          </reference>
        </references>
      </pivotArea>
    </format>
    <format dxfId="59">
      <pivotArea dataOnly="0" labelOnly="1" fieldPosition="0">
        <references count="1">
          <reference field="0" count="1">
            <x v="5"/>
          </reference>
        </references>
      </pivotArea>
    </format>
    <format dxfId="58">
      <pivotArea collapsedLevelsAreSubtotals="1" fieldPosition="0">
        <references count="1">
          <reference field="0" count="1">
            <x v="6"/>
          </reference>
        </references>
      </pivotArea>
    </format>
    <format dxfId="57">
      <pivotArea dataOnly="0" labelOnly="1" fieldPosition="0">
        <references count="1">
          <reference field="0" count="1">
            <x v="6"/>
          </reference>
        </references>
      </pivotArea>
    </format>
    <format dxfId="56">
      <pivotArea collapsedLevelsAreSubtotals="1" fieldPosition="0">
        <references count="1">
          <reference field="0" count="1">
            <x v="7"/>
          </reference>
        </references>
      </pivotArea>
    </format>
    <format dxfId="55">
      <pivotArea dataOnly="0" labelOnly="1" fieldPosition="0">
        <references count="1">
          <reference field="0" count="1">
            <x v="7"/>
          </reference>
        </references>
      </pivotArea>
    </format>
    <format dxfId="54">
      <pivotArea collapsedLevelsAreSubtotals="1" fieldPosition="0">
        <references count="1">
          <reference field="0" count="1">
            <x v="8"/>
          </reference>
        </references>
      </pivotArea>
    </format>
    <format dxfId="53">
      <pivotArea dataOnly="0" labelOnly="1" fieldPosition="0">
        <references count="1">
          <reference field="0" count="1">
            <x v="8"/>
          </reference>
        </references>
      </pivotArea>
    </format>
    <format dxfId="52">
      <pivotArea collapsedLevelsAreSubtotals="1" fieldPosition="0">
        <references count="1">
          <reference field="0" count="1">
            <x v="9"/>
          </reference>
        </references>
      </pivotArea>
    </format>
    <format dxfId="51">
      <pivotArea dataOnly="0" labelOnly="1" fieldPosition="0">
        <references count="1">
          <reference field="0" count="1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7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D87:E95" firstHeaderRow="1" firstDataRow="1" firstDataCol="1"/>
  <pivotFields count="2">
    <pivotField axis="axisRow" showAll="0">
      <items count="8">
        <item x="2"/>
        <item x="5"/>
        <item x="3"/>
        <item x="6"/>
        <item x="4"/>
        <item x="1"/>
        <item x="0"/>
        <item t="default"/>
      </items>
    </pivotField>
    <pivotField dataField="1" numFmtId="43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 of -3,564,509.92 " fld="1" baseField="0" baseItem="0" numFmtId="43"/>
  </dataFields>
  <formats count="11">
    <format dxfId="82">
      <pivotArea outline="0" collapsedLevelsAreSubtotals="1" fieldPosition="0"/>
    </format>
    <format dxfId="81">
      <pivotArea collapsedLevelsAreSubtotals="1" fieldPosition="0">
        <references count="1">
          <reference field="0" count="1">
            <x v="0"/>
          </reference>
        </references>
      </pivotArea>
    </format>
    <format dxfId="80">
      <pivotArea dataOnly="0" labelOnly="1" fieldPosition="0">
        <references count="1">
          <reference field="0" count="1">
            <x v="0"/>
          </reference>
        </references>
      </pivotArea>
    </format>
    <format dxfId="79">
      <pivotArea collapsedLevelsAreSubtotals="1" fieldPosition="0">
        <references count="1">
          <reference field="0" count="3">
            <x v="1"/>
            <x v="2"/>
            <x v="3"/>
          </reference>
        </references>
      </pivotArea>
    </format>
    <format dxfId="78">
      <pivotArea dataOnly="0" labelOnly="1" fieldPosition="0">
        <references count="1">
          <reference field="0" count="3">
            <x v="1"/>
            <x v="2"/>
            <x v="3"/>
          </reference>
        </references>
      </pivotArea>
    </format>
    <format dxfId="77">
      <pivotArea collapsedLevelsAreSubtotals="1" fieldPosition="0">
        <references count="1">
          <reference field="0" count="1">
            <x v="6"/>
          </reference>
        </references>
      </pivotArea>
    </format>
    <format dxfId="76">
      <pivotArea dataOnly="0" labelOnly="1" fieldPosition="0">
        <references count="1">
          <reference field="0" count="1">
            <x v="6"/>
          </reference>
        </references>
      </pivotArea>
    </format>
    <format dxfId="75">
      <pivotArea collapsedLevelsAreSubtotals="1" fieldPosition="0">
        <references count="1">
          <reference field="0" count="1">
            <x v="5"/>
          </reference>
        </references>
      </pivotArea>
    </format>
    <format dxfId="74">
      <pivotArea dataOnly="0" labelOnly="1" fieldPosition="0">
        <references count="1">
          <reference field="0" count="1">
            <x v="5"/>
          </reference>
        </references>
      </pivotArea>
    </format>
    <format dxfId="73">
      <pivotArea collapsedLevelsAreSubtotals="1" fieldPosition="0">
        <references count="1">
          <reference field="0" count="1">
            <x v="4"/>
          </reference>
        </references>
      </pivotArea>
    </format>
    <format dxfId="72">
      <pivotArea dataOnly="0" labelOnly="1" fieldPosition="0">
        <references count="1">
          <reference field="0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14" cacheId="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M10299:M10309" firstHeaderRow="1" firstDataRow="1" firstDataCol="1"/>
  <pivotFields count="2">
    <pivotField axis="axisRow" showAll="0">
      <items count="10">
        <item x="0"/>
        <item x="2"/>
        <item x="1"/>
        <item x="3"/>
        <item x="7"/>
        <item x="6"/>
        <item x="8"/>
        <item x="5"/>
        <item x="4"/>
        <item t="default"/>
      </items>
    </pivotField>
    <pivotField numFmtId="43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3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C42:D49" firstHeaderRow="1" firstDataRow="1" firstDataCol="1"/>
  <pivotFields count="2">
    <pivotField axis="axisRow" showAll="0">
      <items count="7">
        <item x="1"/>
        <item x="2"/>
        <item x="0"/>
        <item x="3"/>
        <item x="4"/>
        <item x="5"/>
        <item t="default"/>
      </items>
    </pivotField>
    <pivotField dataField="1" numFmtId="43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 of -783,135.31 " fld="1" baseField="0" baseItem="0"/>
  </dataFields>
  <formats count="8">
    <format dxfId="90">
      <pivotArea collapsedLevelsAreSubtotals="1" fieldPosition="0">
        <references count="1">
          <reference field="0" count="2">
            <x v="0"/>
            <x v="1"/>
          </reference>
        </references>
      </pivotArea>
    </format>
    <format dxfId="89">
      <pivotArea dataOnly="0" labelOnly="1" fieldPosition="0">
        <references count="1">
          <reference field="0" count="2">
            <x v="0"/>
            <x v="1"/>
          </reference>
        </references>
      </pivotArea>
    </format>
    <format dxfId="88">
      <pivotArea collapsedLevelsAreSubtotals="1" fieldPosition="0">
        <references count="1">
          <reference field="0" count="1">
            <x v="2"/>
          </reference>
        </references>
      </pivotArea>
    </format>
    <format dxfId="87">
      <pivotArea dataOnly="0" labelOnly="1" fieldPosition="0">
        <references count="1">
          <reference field="0" count="1">
            <x v="2"/>
          </reference>
        </references>
      </pivotArea>
    </format>
    <format dxfId="86">
      <pivotArea collapsedLevelsAreSubtotals="1" fieldPosition="0">
        <references count="1">
          <reference field="0" count="2">
            <x v="3"/>
            <x v="4"/>
          </reference>
        </references>
      </pivotArea>
    </format>
    <format dxfId="85">
      <pivotArea dataOnly="0" labelOnly="1" fieldPosition="0">
        <references count="1">
          <reference field="0" count="2">
            <x v="3"/>
            <x v="4"/>
          </reference>
        </references>
      </pivotArea>
    </format>
    <format dxfId="84">
      <pivotArea collapsedLevelsAreSubtotals="1" fieldPosition="0">
        <references count="1">
          <reference field="0" count="1">
            <x v="5"/>
          </reference>
        </references>
      </pivotArea>
    </format>
    <format dxfId="83">
      <pivotArea dataOnly="0" labelOnly="1" fieldPosition="0">
        <references count="1">
          <reference field="0" count="1"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11" cacheId="7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I82:J88" firstHeaderRow="1" firstDataRow="1" firstDataCol="1"/>
  <pivotFields count="2">
    <pivotField axis="axisRow" showAll="0">
      <items count="6">
        <item x="0"/>
        <item x="1"/>
        <item x="2"/>
        <item x="3"/>
        <item x="4"/>
        <item t="default"/>
      </items>
    </pivotField>
    <pivotField dataField="1" numFmtId="43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-2,139,728.45 " fld="1" baseField="0" baseItem="0"/>
  </dataFields>
  <formats count="10">
    <format dxfId="100">
      <pivotArea collapsedLevelsAreSubtotals="1" fieldPosition="0">
        <references count="1">
          <reference field="0" count="0"/>
        </references>
      </pivotArea>
    </format>
    <format dxfId="99">
      <pivotArea grandRow="1" outline="0" collapsedLevelsAreSubtotals="1" fieldPosition="0"/>
    </format>
    <format dxfId="98">
      <pivotArea collapsedLevelsAreSubtotals="1" fieldPosition="0">
        <references count="1">
          <reference field="0" count="1">
            <x v="0"/>
          </reference>
        </references>
      </pivotArea>
    </format>
    <format dxfId="97">
      <pivotArea dataOnly="0" labelOnly="1" fieldPosition="0">
        <references count="1">
          <reference field="0" count="1">
            <x v="0"/>
          </reference>
        </references>
      </pivotArea>
    </format>
    <format dxfId="96">
      <pivotArea collapsedLevelsAreSubtotals="1" fieldPosition="0">
        <references count="1">
          <reference field="0" count="2">
            <x v="1"/>
            <x v="2"/>
          </reference>
        </references>
      </pivotArea>
    </format>
    <format dxfId="95">
      <pivotArea dataOnly="0" labelOnly="1" fieldPosition="0">
        <references count="1">
          <reference field="0" count="2">
            <x v="1"/>
            <x v="2"/>
          </reference>
        </references>
      </pivotArea>
    </format>
    <format dxfId="94">
      <pivotArea collapsedLevelsAreSubtotals="1" fieldPosition="0">
        <references count="1">
          <reference field="0" count="1">
            <x v="3"/>
          </reference>
        </references>
      </pivotArea>
    </format>
    <format dxfId="93">
      <pivotArea dataOnly="0" labelOnly="1" fieldPosition="0">
        <references count="1">
          <reference field="0" count="1">
            <x v="3"/>
          </reference>
        </references>
      </pivotArea>
    </format>
    <format dxfId="92">
      <pivotArea collapsedLevelsAreSubtotals="1" fieldPosition="0">
        <references count="1">
          <reference field="0" count="1">
            <x v="4"/>
          </reference>
        </references>
      </pivotArea>
    </format>
    <format dxfId="91">
      <pivotArea dataOnly="0" labelOnly="1" fieldPosition="0">
        <references count="1">
          <reference field="0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Table3" displayName="Table3" ref="A1:B2" totalsRowShown="0">
  <autoFilter ref="A1:B2"/>
  <tableColumns count="2">
    <tableColumn id="1" name="ADJUSTMENTS ATE MARILET "/>
    <tableColumn id="2" name=" 777,131.79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9.xml"/><Relationship Id="rId3" Type="http://schemas.openxmlformats.org/officeDocument/2006/relationships/pivotTable" Target="../pivotTables/pivotTable4.xml"/><Relationship Id="rId7" Type="http://schemas.openxmlformats.org/officeDocument/2006/relationships/pivotTable" Target="../pivotTables/pivotTable8.xml"/><Relationship Id="rId12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6" Type="http://schemas.openxmlformats.org/officeDocument/2006/relationships/pivotTable" Target="../pivotTables/pivotTable7.xml"/><Relationship Id="rId11" Type="http://schemas.openxmlformats.org/officeDocument/2006/relationships/pivotTable" Target="../pivotTables/pivotTable12.xml"/><Relationship Id="rId5" Type="http://schemas.openxmlformats.org/officeDocument/2006/relationships/pivotTable" Target="../pivotTables/pivotTable6.xml"/><Relationship Id="rId10" Type="http://schemas.openxmlformats.org/officeDocument/2006/relationships/pivotTable" Target="../pivotTables/pivotTable11.xml"/><Relationship Id="rId4" Type="http://schemas.openxmlformats.org/officeDocument/2006/relationships/pivotTable" Target="../pivotTables/pivotTable5.xml"/><Relationship Id="rId9" Type="http://schemas.openxmlformats.org/officeDocument/2006/relationships/pivotTable" Target="../pivotTables/pivotTable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workbookViewId="0">
      <pane ySplit="1" topLeftCell="A74" activePane="bottomLeft" state="frozen"/>
      <selection pane="bottomLeft" activeCell="B114" sqref="B114"/>
    </sheetView>
  </sheetViews>
  <sheetFormatPr defaultRowHeight="15" x14ac:dyDescent="0.25"/>
  <cols>
    <col min="1" max="1" width="37.42578125" style="6" customWidth="1"/>
    <col min="2" max="2" width="39.5703125" style="4" customWidth="1"/>
    <col min="4" max="4" width="26.42578125" style="4" customWidth="1"/>
    <col min="5" max="5" width="21.5703125" style="4" customWidth="1"/>
  </cols>
  <sheetData>
    <row r="1" spans="1:5" ht="30" x14ac:dyDescent="0.25">
      <c r="A1" s="5" t="s">
        <v>87</v>
      </c>
    </row>
    <row r="2" spans="1:5" x14ac:dyDescent="0.25">
      <c r="A2" s="6" t="s">
        <v>88</v>
      </c>
      <c r="B2" s="7">
        <v>-69809982.480000004</v>
      </c>
      <c r="D2" s="4" t="e">
        <f>#REF!</f>
        <v>#REF!</v>
      </c>
      <c r="E2" s="4" t="e">
        <f>B2-D2</f>
        <v>#REF!</v>
      </c>
    </row>
    <row r="3" spans="1:5" x14ac:dyDescent="0.25">
      <c r="A3" s="6" t="s">
        <v>90</v>
      </c>
      <c r="B3" s="7">
        <v>-516848377</v>
      </c>
      <c r="D3" s="4" t="e">
        <f>#REF!</f>
        <v>#REF!</v>
      </c>
      <c r="E3" s="4" t="e">
        <f t="shared" ref="E3:E12" si="0">B3-D3</f>
        <v>#REF!</v>
      </c>
    </row>
    <row r="4" spans="1:5" x14ac:dyDescent="0.25">
      <c r="A4" s="6" t="s">
        <v>92</v>
      </c>
      <c r="B4" s="7">
        <v>-3005555</v>
      </c>
      <c r="D4" s="4" t="e">
        <f>#REF!</f>
        <v>#REF!</v>
      </c>
      <c r="E4" s="4" t="e">
        <f t="shared" si="0"/>
        <v>#REF!</v>
      </c>
    </row>
    <row r="5" spans="1:5" x14ac:dyDescent="0.25">
      <c r="A5" s="6" t="s">
        <v>94</v>
      </c>
      <c r="B5" s="7">
        <v>-284395.49</v>
      </c>
      <c r="D5" s="4" t="e">
        <f>#REF!</f>
        <v>#REF!</v>
      </c>
      <c r="E5" s="4" t="e">
        <f t="shared" si="0"/>
        <v>#REF!</v>
      </c>
    </row>
    <row r="6" spans="1:5" ht="30" x14ac:dyDescent="0.25">
      <c r="A6" s="6" t="s">
        <v>153</v>
      </c>
      <c r="B6" s="7">
        <v>110528721.98</v>
      </c>
      <c r="D6" s="4" t="e">
        <f>#REF!</f>
        <v>#REF!</v>
      </c>
      <c r="E6" s="4" t="e">
        <f t="shared" si="0"/>
        <v>#REF!</v>
      </c>
    </row>
    <row r="7" spans="1:5" ht="30" x14ac:dyDescent="0.25">
      <c r="A7" s="6" t="s">
        <v>96</v>
      </c>
      <c r="B7" s="7">
        <v>-134854095.22</v>
      </c>
      <c r="D7" s="4" t="e">
        <f>#REF!</f>
        <v>#REF!</v>
      </c>
      <c r="E7" s="4" t="e">
        <f t="shared" si="0"/>
        <v>#REF!</v>
      </c>
    </row>
    <row r="8" spans="1:5" x14ac:dyDescent="0.25">
      <c r="A8" s="6" t="s">
        <v>98</v>
      </c>
      <c r="B8" s="7">
        <v>-2087463.48</v>
      </c>
      <c r="D8" s="4" t="e">
        <f>#REF!</f>
        <v>#REF!</v>
      </c>
      <c r="E8" s="4" t="e">
        <f t="shared" si="0"/>
        <v>#REF!</v>
      </c>
    </row>
    <row r="9" spans="1:5" x14ac:dyDescent="0.25">
      <c r="A9" s="6" t="s">
        <v>99</v>
      </c>
      <c r="B9" s="7">
        <v>-10955324.35</v>
      </c>
      <c r="D9" s="4" t="e">
        <f>#REF!+#REF!</f>
        <v>#REF!</v>
      </c>
      <c r="E9" s="4" t="e">
        <f t="shared" si="0"/>
        <v>#REF!</v>
      </c>
    </row>
    <row r="10" spans="1:5" ht="30" x14ac:dyDescent="0.25">
      <c r="A10" s="6" t="s">
        <v>136</v>
      </c>
      <c r="B10" s="7">
        <v>1891690.2000000002</v>
      </c>
      <c r="D10" s="4" t="e">
        <f>#REF!</f>
        <v>#REF!</v>
      </c>
      <c r="E10" s="4" t="e">
        <f t="shared" si="0"/>
        <v>#REF!</v>
      </c>
    </row>
    <row r="11" spans="1:5" ht="30" x14ac:dyDescent="0.25">
      <c r="A11" s="6" t="s">
        <v>137</v>
      </c>
      <c r="B11" s="7">
        <v>-0.18</v>
      </c>
      <c r="D11" s="4" t="e">
        <f>#REF!</f>
        <v>#REF!</v>
      </c>
      <c r="E11" s="4" t="e">
        <f t="shared" si="0"/>
        <v>#REF!</v>
      </c>
    </row>
    <row r="12" spans="1:5" ht="30" x14ac:dyDescent="0.25">
      <c r="A12" s="6" t="s">
        <v>154</v>
      </c>
      <c r="B12" s="7">
        <v>7201800.8899999987</v>
      </c>
      <c r="D12" s="4" t="e">
        <f>#REF!</f>
        <v>#REF!</v>
      </c>
      <c r="E12" s="4" t="e">
        <f t="shared" si="0"/>
        <v>#REF!</v>
      </c>
    </row>
    <row r="13" spans="1:5" x14ac:dyDescent="0.25">
      <c r="A13" s="5" t="s">
        <v>135</v>
      </c>
      <c r="B13" s="7"/>
    </row>
    <row r="14" spans="1:5" ht="30" x14ac:dyDescent="0.25">
      <c r="A14" s="6" t="s">
        <v>26</v>
      </c>
      <c r="B14" s="7">
        <v>-1299509.1599999999</v>
      </c>
      <c r="D14" s="4" t="e">
        <f>#REF!+#REF!</f>
        <v>#REF!</v>
      </c>
      <c r="E14" s="4" t="e">
        <f>B14-D14</f>
        <v>#REF!</v>
      </c>
    </row>
    <row r="15" spans="1:5" x14ac:dyDescent="0.25">
      <c r="A15" s="6" t="s">
        <v>28</v>
      </c>
      <c r="B15" s="7">
        <v>-2059679.87</v>
      </c>
      <c r="D15" s="4" t="e">
        <f>#REF!</f>
        <v>#REF!</v>
      </c>
      <c r="E15" s="4" t="e">
        <f t="shared" ref="E15:E78" si="1">B15-D15</f>
        <v>#REF!</v>
      </c>
    </row>
    <row r="16" spans="1:5" x14ac:dyDescent="0.25">
      <c r="A16" s="6" t="s">
        <v>29</v>
      </c>
      <c r="B16" s="7">
        <v>-2548512</v>
      </c>
      <c r="D16" s="4" t="e">
        <f>#REF!</f>
        <v>#REF!</v>
      </c>
      <c r="E16" s="4" t="e">
        <f t="shared" si="1"/>
        <v>#REF!</v>
      </c>
    </row>
    <row r="17" spans="1:5" x14ac:dyDescent="0.25">
      <c r="A17" s="6" t="s">
        <v>30</v>
      </c>
      <c r="B17" s="7">
        <v>-4726340.9000000004</v>
      </c>
      <c r="D17" s="4" t="e">
        <f>#REF!+#REF!</f>
        <v>#REF!</v>
      </c>
      <c r="E17" s="4" t="e">
        <f t="shared" si="1"/>
        <v>#REF!</v>
      </c>
    </row>
    <row r="18" spans="1:5" x14ac:dyDescent="0.25">
      <c r="A18" s="6" t="s">
        <v>31</v>
      </c>
      <c r="B18" s="7">
        <v>-635407.25</v>
      </c>
      <c r="D18" s="4" t="e">
        <f>#REF!</f>
        <v>#REF!</v>
      </c>
      <c r="E18" s="4" t="e">
        <f t="shared" si="1"/>
        <v>#REF!</v>
      </c>
    </row>
    <row r="19" spans="1:5" x14ac:dyDescent="0.25">
      <c r="A19" s="6" t="s">
        <v>33</v>
      </c>
      <c r="B19" s="7">
        <v>-595070.63</v>
      </c>
      <c r="D19" s="4" t="e">
        <f>#REF!+#REF!</f>
        <v>#REF!</v>
      </c>
      <c r="E19" s="4" t="e">
        <f t="shared" si="1"/>
        <v>#REF!</v>
      </c>
    </row>
    <row r="20" spans="1:5" x14ac:dyDescent="0.25">
      <c r="A20" s="6" t="s">
        <v>34</v>
      </c>
      <c r="B20" s="7">
        <v>-301655533.96000004</v>
      </c>
      <c r="D20" s="4" t="e">
        <f>#REF!+#REF!+#REF!</f>
        <v>#REF!</v>
      </c>
      <c r="E20" s="4" t="e">
        <f t="shared" si="1"/>
        <v>#REF!</v>
      </c>
    </row>
    <row r="21" spans="1:5" x14ac:dyDescent="0.25">
      <c r="A21" s="6" t="s">
        <v>37</v>
      </c>
      <c r="B21" s="7">
        <v>-35680.120000000003</v>
      </c>
      <c r="D21" s="4" t="e">
        <f>#REF!</f>
        <v>#REF!</v>
      </c>
      <c r="E21" s="4" t="e">
        <f t="shared" si="1"/>
        <v>#REF!</v>
      </c>
    </row>
    <row r="22" spans="1:5" x14ac:dyDescent="0.25">
      <c r="A22" s="6" t="s">
        <v>38</v>
      </c>
      <c r="B22" s="7">
        <v>-148191.70000000001</v>
      </c>
      <c r="D22" s="4" t="e">
        <f>#REF!</f>
        <v>#REF!</v>
      </c>
      <c r="E22" s="4" t="e">
        <f t="shared" si="1"/>
        <v>#REF!</v>
      </c>
    </row>
    <row r="23" spans="1:5" x14ac:dyDescent="0.25">
      <c r="A23" s="6" t="s">
        <v>40</v>
      </c>
      <c r="B23" s="7">
        <v>-53842.75</v>
      </c>
      <c r="D23" s="4" t="e">
        <f>#REF!</f>
        <v>#REF!</v>
      </c>
      <c r="E23" s="4" t="e">
        <f t="shared" si="1"/>
        <v>#REF!</v>
      </c>
    </row>
    <row r="24" spans="1:5" x14ac:dyDescent="0.25">
      <c r="A24" s="6" t="s">
        <v>41</v>
      </c>
      <c r="B24" s="7">
        <v>-203216.95</v>
      </c>
      <c r="D24" s="4" t="e">
        <f>#REF!</f>
        <v>#REF!</v>
      </c>
      <c r="E24" s="4" t="e">
        <f t="shared" si="1"/>
        <v>#REF!</v>
      </c>
    </row>
    <row r="25" spans="1:5" x14ac:dyDescent="0.25">
      <c r="A25" s="6" t="s">
        <v>43</v>
      </c>
      <c r="B25" s="7">
        <v>-325650</v>
      </c>
      <c r="D25" s="4" t="e">
        <f>#REF!</f>
        <v>#REF!</v>
      </c>
      <c r="E25" s="4" t="e">
        <f t="shared" si="1"/>
        <v>#REF!</v>
      </c>
    </row>
    <row r="26" spans="1:5" x14ac:dyDescent="0.25">
      <c r="A26" s="6" t="s">
        <v>44</v>
      </c>
      <c r="B26" s="7">
        <v>-832000</v>
      </c>
      <c r="D26" s="4" t="e">
        <f>#REF!</f>
        <v>#REF!</v>
      </c>
      <c r="E26" s="4" t="e">
        <f t="shared" si="1"/>
        <v>#REF!</v>
      </c>
    </row>
    <row r="27" spans="1:5" ht="30" x14ac:dyDescent="0.25">
      <c r="A27" s="6" t="s">
        <v>46</v>
      </c>
      <c r="B27" s="7">
        <v>-381575.5</v>
      </c>
      <c r="D27" s="4" t="e">
        <f>#REF!</f>
        <v>#REF!</v>
      </c>
      <c r="E27" s="4" t="e">
        <f t="shared" si="1"/>
        <v>#REF!</v>
      </c>
    </row>
    <row r="28" spans="1:5" ht="30" x14ac:dyDescent="0.25">
      <c r="A28" s="6" t="s">
        <v>48</v>
      </c>
      <c r="B28" s="7">
        <v>-46368</v>
      </c>
      <c r="D28" s="4" t="e">
        <f>#REF!</f>
        <v>#REF!</v>
      </c>
      <c r="E28" s="4" t="e">
        <f t="shared" si="1"/>
        <v>#REF!</v>
      </c>
    </row>
    <row r="29" spans="1:5" ht="30" x14ac:dyDescent="0.25">
      <c r="A29" s="6" t="s">
        <v>49</v>
      </c>
      <c r="B29" s="7">
        <v>-17035.7</v>
      </c>
      <c r="D29" s="4" t="e">
        <f>#REF!</f>
        <v>#REF!</v>
      </c>
      <c r="E29" s="4" t="e">
        <f t="shared" si="1"/>
        <v>#REF!</v>
      </c>
    </row>
    <row r="30" spans="1:5" ht="45" x14ac:dyDescent="0.25">
      <c r="A30" s="6" t="s">
        <v>50</v>
      </c>
      <c r="B30" s="7">
        <v>-894088.36</v>
      </c>
      <c r="D30" s="4" t="e">
        <f>#REF!</f>
        <v>#REF!</v>
      </c>
      <c r="E30" s="4" t="e">
        <f t="shared" si="1"/>
        <v>#REF!</v>
      </c>
    </row>
    <row r="31" spans="1:5" ht="30" x14ac:dyDescent="0.25">
      <c r="A31" s="6" t="s">
        <v>51</v>
      </c>
      <c r="B31" s="7">
        <v>-1800</v>
      </c>
      <c r="D31" s="4" t="e">
        <f>#REF!</f>
        <v>#REF!</v>
      </c>
      <c r="E31" s="4" t="e">
        <f t="shared" si="1"/>
        <v>#REF!</v>
      </c>
    </row>
    <row r="32" spans="1:5" x14ac:dyDescent="0.25">
      <c r="A32" s="6" t="s">
        <v>52</v>
      </c>
      <c r="B32" s="7">
        <v>-564620.67999999993</v>
      </c>
      <c r="D32" s="4" t="e">
        <f>#REF!</f>
        <v>#REF!</v>
      </c>
      <c r="E32" s="4" t="e">
        <f>B32-D32</f>
        <v>#REF!</v>
      </c>
    </row>
    <row r="33" spans="1:5" x14ac:dyDescent="0.25">
      <c r="A33" s="6" t="s">
        <v>53</v>
      </c>
      <c r="B33" s="7">
        <v>-832117.92</v>
      </c>
      <c r="D33" s="4" t="e">
        <f>#REF!</f>
        <v>#REF!</v>
      </c>
      <c r="E33" s="4" t="e">
        <f t="shared" si="1"/>
        <v>#REF!</v>
      </c>
    </row>
    <row r="34" spans="1:5" ht="45" x14ac:dyDescent="0.25">
      <c r="A34" s="6" t="s">
        <v>54</v>
      </c>
      <c r="B34" s="7">
        <v>-7120.12</v>
      </c>
      <c r="D34" s="4" t="e">
        <f>#REF!</f>
        <v>#REF!</v>
      </c>
      <c r="E34" s="4" t="e">
        <f t="shared" si="1"/>
        <v>#REF!</v>
      </c>
    </row>
    <row r="35" spans="1:5" ht="30" x14ac:dyDescent="0.25">
      <c r="A35" s="6" t="s">
        <v>55</v>
      </c>
      <c r="B35" s="7">
        <v>-90985</v>
      </c>
      <c r="D35" s="4" t="e">
        <f>#REF!</f>
        <v>#REF!</v>
      </c>
      <c r="E35" s="4" t="e">
        <f t="shared" si="1"/>
        <v>#REF!</v>
      </c>
    </row>
    <row r="36" spans="1:5" ht="30" x14ac:dyDescent="0.25">
      <c r="A36" s="6" t="s">
        <v>56</v>
      </c>
      <c r="B36" s="7">
        <v>-443675.5</v>
      </c>
      <c r="D36" s="4" t="e">
        <f>#REF!</f>
        <v>#REF!</v>
      </c>
      <c r="E36" s="4" t="e">
        <f t="shared" si="1"/>
        <v>#REF!</v>
      </c>
    </row>
    <row r="37" spans="1:5" ht="45" x14ac:dyDescent="0.25">
      <c r="A37" s="6" t="s">
        <v>57</v>
      </c>
      <c r="B37" s="7">
        <v>-143251.33000000002</v>
      </c>
      <c r="D37" s="4" t="e">
        <f>#REF!</f>
        <v>#REF!</v>
      </c>
      <c r="E37" s="4" t="e">
        <f t="shared" si="1"/>
        <v>#REF!</v>
      </c>
    </row>
    <row r="38" spans="1:5" ht="30" x14ac:dyDescent="0.25">
      <c r="A38" s="6" t="s">
        <v>59</v>
      </c>
      <c r="B38" s="7">
        <v>-1157074.77</v>
      </c>
      <c r="D38" s="4" t="e">
        <f>#REF!+#REF!</f>
        <v>#REF!</v>
      </c>
      <c r="E38" s="4" t="e">
        <f t="shared" si="1"/>
        <v>#REF!</v>
      </c>
    </row>
    <row r="39" spans="1:5" ht="30" x14ac:dyDescent="0.25">
      <c r="A39" s="6" t="s">
        <v>60</v>
      </c>
      <c r="B39" s="7">
        <v>-1110780.8500000001</v>
      </c>
      <c r="D39" s="4" t="e">
        <f>#REF!</f>
        <v>#REF!</v>
      </c>
      <c r="E39" s="4" t="e">
        <f>B39-D39</f>
        <v>#REF!</v>
      </c>
    </row>
    <row r="40" spans="1:5" ht="30" x14ac:dyDescent="0.25">
      <c r="A40" s="6" t="s">
        <v>61</v>
      </c>
      <c r="B40" s="7">
        <v>-346121.6</v>
      </c>
      <c r="D40" s="4" t="e">
        <f>#REF!</f>
        <v>#REF!</v>
      </c>
      <c r="E40" s="4" t="e">
        <f t="shared" si="1"/>
        <v>#REF!</v>
      </c>
    </row>
    <row r="41" spans="1:5" x14ac:dyDescent="0.25">
      <c r="A41" s="6" t="s">
        <v>63</v>
      </c>
      <c r="B41" s="7">
        <v>-12399.87</v>
      </c>
      <c r="D41" s="4" t="e">
        <f>#REF!</f>
        <v>#REF!</v>
      </c>
      <c r="E41" s="4" t="e">
        <f t="shared" si="1"/>
        <v>#REF!</v>
      </c>
    </row>
    <row r="42" spans="1:5" ht="30" x14ac:dyDescent="0.25">
      <c r="A42" s="6" t="s">
        <v>64</v>
      </c>
      <c r="B42" s="7">
        <v>-33460.85</v>
      </c>
      <c r="D42" s="4" t="e">
        <f>#REF!</f>
        <v>#REF!</v>
      </c>
      <c r="E42" s="4" t="e">
        <f t="shared" si="1"/>
        <v>#REF!</v>
      </c>
    </row>
    <row r="43" spans="1:5" x14ac:dyDescent="0.25">
      <c r="A43" s="6" t="s">
        <v>65</v>
      </c>
      <c r="B43" s="7">
        <v>-1250</v>
      </c>
      <c r="D43" s="4" t="e">
        <f>#REF!</f>
        <v>#REF!</v>
      </c>
      <c r="E43" s="4" t="e">
        <f t="shared" si="1"/>
        <v>#REF!</v>
      </c>
    </row>
    <row r="44" spans="1:5" x14ac:dyDescent="0.25">
      <c r="A44" s="6" t="s">
        <v>66</v>
      </c>
      <c r="B44" s="7">
        <v>-990</v>
      </c>
      <c r="D44" s="4" t="e">
        <f>#REF!</f>
        <v>#REF!</v>
      </c>
      <c r="E44" s="4" t="e">
        <f t="shared" si="1"/>
        <v>#REF!</v>
      </c>
    </row>
    <row r="45" spans="1:5" x14ac:dyDescent="0.25">
      <c r="A45" s="6" t="s">
        <v>67</v>
      </c>
      <c r="B45" s="7">
        <v>-1490602.7</v>
      </c>
      <c r="D45" s="4" t="e">
        <f>#REF!</f>
        <v>#REF!</v>
      </c>
      <c r="E45" s="4" t="e">
        <f t="shared" si="1"/>
        <v>#REF!</v>
      </c>
    </row>
    <row r="46" spans="1:5" x14ac:dyDescent="0.25">
      <c r="A46" s="6" t="s">
        <v>68</v>
      </c>
      <c r="B46" s="7">
        <v>-1642.5</v>
      </c>
      <c r="D46" s="4" t="e">
        <f>#REF!</f>
        <v>#REF!</v>
      </c>
      <c r="E46" s="4" t="e">
        <f t="shared" si="1"/>
        <v>#REF!</v>
      </c>
    </row>
    <row r="47" spans="1:5" x14ac:dyDescent="0.25">
      <c r="A47" s="6" t="s">
        <v>69</v>
      </c>
      <c r="B47" s="7">
        <v>-1061579.08</v>
      </c>
      <c r="D47" s="4" t="e">
        <f>#REF!</f>
        <v>#REF!</v>
      </c>
      <c r="E47" s="4" t="e">
        <f t="shared" si="1"/>
        <v>#REF!</v>
      </c>
    </row>
    <row r="48" spans="1:5" x14ac:dyDescent="0.25">
      <c r="A48" s="6" t="s">
        <v>70</v>
      </c>
      <c r="B48" s="7">
        <v>-10426716.860000001</v>
      </c>
      <c r="D48" s="4" t="e">
        <f>#REF!</f>
        <v>#REF!</v>
      </c>
      <c r="E48" s="4" t="e">
        <f t="shared" si="1"/>
        <v>#REF!</v>
      </c>
    </row>
    <row r="49" spans="1:5" ht="30" x14ac:dyDescent="0.25">
      <c r="A49" s="6" t="s">
        <v>72</v>
      </c>
      <c r="B49" s="7">
        <v>1104226.93</v>
      </c>
      <c r="D49" s="4" t="e">
        <f>#REF!</f>
        <v>#REF!</v>
      </c>
      <c r="E49" s="4" t="e">
        <f>B49-D49</f>
        <v>#REF!</v>
      </c>
    </row>
    <row r="50" spans="1:5" ht="30" x14ac:dyDescent="0.25">
      <c r="A50" s="6" t="s">
        <v>73</v>
      </c>
      <c r="B50" s="7">
        <v>260</v>
      </c>
      <c r="D50" s="4" t="e">
        <f>#REF!</f>
        <v>#REF!</v>
      </c>
      <c r="E50" s="4" t="e">
        <f t="shared" si="1"/>
        <v>#REF!</v>
      </c>
    </row>
    <row r="51" spans="1:5" ht="30" x14ac:dyDescent="0.25">
      <c r="A51" s="6" t="s">
        <v>75</v>
      </c>
      <c r="B51" s="7">
        <v>1844080.11</v>
      </c>
      <c r="D51" s="4" t="e">
        <f>#REF!</f>
        <v>#REF!</v>
      </c>
      <c r="E51" s="4" t="e">
        <f t="shared" si="1"/>
        <v>#REF!</v>
      </c>
    </row>
    <row r="52" spans="1:5" ht="30" x14ac:dyDescent="0.25">
      <c r="A52" s="6" t="s">
        <v>76</v>
      </c>
      <c r="B52" s="7">
        <v>35940.31</v>
      </c>
      <c r="D52" s="4" t="e">
        <f>#REF!</f>
        <v>#REF!</v>
      </c>
      <c r="E52" s="4" t="e">
        <f t="shared" si="1"/>
        <v>#REF!</v>
      </c>
    </row>
    <row r="53" spans="1:5" ht="30" x14ac:dyDescent="0.25">
      <c r="A53" s="6" t="s">
        <v>77</v>
      </c>
      <c r="B53" s="7">
        <v>1800000</v>
      </c>
      <c r="D53" s="4" t="e">
        <f>#REF!</f>
        <v>#REF!</v>
      </c>
      <c r="E53" s="4" t="e">
        <f t="shared" si="1"/>
        <v>#REF!</v>
      </c>
    </row>
    <row r="54" spans="1:5" ht="30" x14ac:dyDescent="0.25">
      <c r="A54" s="6" t="s">
        <v>78</v>
      </c>
      <c r="B54" s="7">
        <v>24322</v>
      </c>
      <c r="D54" s="4" t="e">
        <f>#REF!+#REF!</f>
        <v>#REF!</v>
      </c>
      <c r="E54" s="4" t="e">
        <f t="shared" si="1"/>
        <v>#REF!</v>
      </c>
    </row>
    <row r="55" spans="1:5" x14ac:dyDescent="0.25">
      <c r="A55" s="6" t="s">
        <v>79</v>
      </c>
      <c r="B55" s="7">
        <v>6560</v>
      </c>
      <c r="D55" s="4" t="e">
        <f>#REF!</f>
        <v>#REF!</v>
      </c>
      <c r="E55" s="4" t="e">
        <f t="shared" si="1"/>
        <v>#REF!</v>
      </c>
    </row>
    <row r="56" spans="1:5" x14ac:dyDescent="0.25">
      <c r="A56" s="6" t="s">
        <v>81</v>
      </c>
      <c r="B56" s="7">
        <v>2200167.13</v>
      </c>
      <c r="D56" s="4" t="e">
        <f>#REF!</f>
        <v>#REF!</v>
      </c>
      <c r="E56" s="4" t="e">
        <f t="shared" si="1"/>
        <v>#REF!</v>
      </c>
    </row>
    <row r="57" spans="1:5" ht="45" x14ac:dyDescent="0.25">
      <c r="A57" s="6" t="s">
        <v>82</v>
      </c>
      <c r="B57" s="7">
        <v>120.12</v>
      </c>
      <c r="D57" s="4" t="e">
        <f>#REF!</f>
        <v>#REF!</v>
      </c>
      <c r="E57" s="4" t="e">
        <f t="shared" si="1"/>
        <v>#REF!</v>
      </c>
    </row>
    <row r="58" spans="1:5" ht="30" x14ac:dyDescent="0.25">
      <c r="A58" s="6" t="s">
        <v>83</v>
      </c>
      <c r="B58" s="7">
        <v>29.98</v>
      </c>
      <c r="D58" s="4" t="e">
        <f>#REF!</f>
        <v>#REF!</v>
      </c>
      <c r="E58" s="4" t="e">
        <f t="shared" si="1"/>
        <v>#REF!</v>
      </c>
    </row>
    <row r="59" spans="1:5" ht="30" x14ac:dyDescent="0.25">
      <c r="A59" s="6" t="s">
        <v>84</v>
      </c>
      <c r="B59" s="7">
        <v>33460.85</v>
      </c>
      <c r="D59" s="4" t="e">
        <f>#REF!</f>
        <v>#REF!</v>
      </c>
      <c r="E59" s="4" t="e">
        <f>B59-D59</f>
        <v>#REF!</v>
      </c>
    </row>
    <row r="60" spans="1:5" ht="45" x14ac:dyDescent="0.25">
      <c r="A60" s="6" t="s">
        <v>85</v>
      </c>
      <c r="B60" s="7">
        <v>30000</v>
      </c>
      <c r="D60" s="4" t="e">
        <f>#REF!</f>
        <v>#REF!</v>
      </c>
      <c r="E60" s="4" t="e">
        <f t="shared" si="1"/>
        <v>#REF!</v>
      </c>
    </row>
    <row r="61" spans="1:5" x14ac:dyDescent="0.25">
      <c r="A61" s="6" t="s">
        <v>45</v>
      </c>
      <c r="B61" s="7">
        <v>130000</v>
      </c>
      <c r="D61" s="4" t="e">
        <f>#REF!</f>
        <v>#REF!</v>
      </c>
      <c r="E61" s="4" t="e">
        <f t="shared" si="1"/>
        <v>#REF!</v>
      </c>
    </row>
    <row r="62" spans="1:5" ht="30" x14ac:dyDescent="0.25">
      <c r="A62" s="6" t="s">
        <v>102</v>
      </c>
      <c r="B62" s="7">
        <v>-5738150</v>
      </c>
      <c r="D62" s="4" t="e">
        <f>#REF!</f>
        <v>#REF!</v>
      </c>
      <c r="E62" s="4" t="e">
        <f t="shared" si="1"/>
        <v>#REF!</v>
      </c>
    </row>
    <row r="63" spans="1:5" ht="30" x14ac:dyDescent="0.25">
      <c r="A63" s="6" t="s">
        <v>103</v>
      </c>
      <c r="B63" s="7">
        <v>-177750</v>
      </c>
      <c r="D63" s="4" t="e">
        <f>#REF!</f>
        <v>#REF!</v>
      </c>
      <c r="E63" s="4" t="e">
        <f t="shared" si="1"/>
        <v>#REF!</v>
      </c>
    </row>
    <row r="64" spans="1:5" x14ac:dyDescent="0.25">
      <c r="A64" s="6" t="s">
        <v>104</v>
      </c>
      <c r="B64" s="7">
        <v>3390150.85</v>
      </c>
      <c r="D64" s="4" t="e">
        <f>#REF!+#REF!+#REF!+#REF!</f>
        <v>#REF!</v>
      </c>
      <c r="E64" s="4" t="e">
        <f t="shared" si="1"/>
        <v>#REF!</v>
      </c>
    </row>
    <row r="65" spans="1:5" x14ac:dyDescent="0.25">
      <c r="A65" s="6" t="s">
        <v>107</v>
      </c>
      <c r="B65" s="7">
        <v>69995</v>
      </c>
      <c r="D65" s="4" t="e">
        <f>#REF!</f>
        <v>#REF!</v>
      </c>
      <c r="E65" s="4" t="e">
        <f>B65-D65</f>
        <v>#REF!</v>
      </c>
    </row>
    <row r="66" spans="1:5" x14ac:dyDescent="0.25">
      <c r="A66" s="6" t="s">
        <v>108</v>
      </c>
      <c r="B66" s="7">
        <v>2000</v>
      </c>
      <c r="D66" s="4" t="e">
        <f>#REF!</f>
        <v>#REF!</v>
      </c>
      <c r="E66" s="4" t="e">
        <f t="shared" si="1"/>
        <v>#REF!</v>
      </c>
    </row>
    <row r="67" spans="1:5" x14ac:dyDescent="0.25">
      <c r="A67" s="6" t="s">
        <v>109</v>
      </c>
      <c r="B67" s="7">
        <v>3305800</v>
      </c>
      <c r="D67" s="4" t="e">
        <f>#REF!</f>
        <v>#REF!</v>
      </c>
      <c r="E67" s="4" t="e">
        <f t="shared" si="1"/>
        <v>#REF!</v>
      </c>
    </row>
    <row r="68" spans="1:5" ht="30" x14ac:dyDescent="0.25">
      <c r="A68" s="6" t="s">
        <v>110</v>
      </c>
      <c r="B68" s="7">
        <v>-188263.29</v>
      </c>
      <c r="D68" s="4" t="e">
        <f>#REF!</f>
        <v>#REF!</v>
      </c>
      <c r="E68" s="4" t="e">
        <f t="shared" si="1"/>
        <v>#REF!</v>
      </c>
    </row>
    <row r="69" spans="1:5" ht="30" x14ac:dyDescent="0.25">
      <c r="A69" s="6" t="s">
        <v>111</v>
      </c>
      <c r="B69" s="7">
        <v>-32305.08</v>
      </c>
      <c r="D69" s="4" t="e">
        <f>#REF!</f>
        <v>#REF!</v>
      </c>
      <c r="E69" s="4" t="e">
        <f t="shared" si="1"/>
        <v>#REF!</v>
      </c>
    </row>
    <row r="70" spans="1:5" ht="30" x14ac:dyDescent="0.25">
      <c r="A70" s="6" t="s">
        <v>112</v>
      </c>
      <c r="B70" s="7">
        <v>-38132.720000000001</v>
      </c>
      <c r="D70" s="4" t="e">
        <f>#REF!</f>
        <v>#REF!</v>
      </c>
      <c r="E70" s="4" t="e">
        <f t="shared" si="1"/>
        <v>#REF!</v>
      </c>
    </row>
    <row r="71" spans="1:5" ht="30" x14ac:dyDescent="0.25">
      <c r="A71" s="6" t="s">
        <v>113</v>
      </c>
      <c r="B71" s="7">
        <v>-45333.93</v>
      </c>
      <c r="D71" s="4" t="e">
        <f>#REF!</f>
        <v>#REF!</v>
      </c>
      <c r="E71" s="4" t="e">
        <f t="shared" si="1"/>
        <v>#REF!</v>
      </c>
    </row>
    <row r="72" spans="1:5" x14ac:dyDescent="0.25">
      <c r="A72" s="6" t="s">
        <v>114</v>
      </c>
      <c r="B72" s="7">
        <v>36310460.869999997</v>
      </c>
      <c r="D72" s="4" t="e">
        <f>#REF!+#REF!</f>
        <v>#REF!</v>
      </c>
      <c r="E72" s="4" t="e">
        <f t="shared" si="1"/>
        <v>#REF!</v>
      </c>
    </row>
    <row r="73" spans="1:5" ht="30" x14ac:dyDescent="0.25">
      <c r="A73" s="6" t="s">
        <v>115</v>
      </c>
      <c r="B73" s="7">
        <v>52915894.07</v>
      </c>
      <c r="D73" s="4" t="e">
        <f>#REF!</f>
        <v>#REF!</v>
      </c>
      <c r="E73" s="4" t="e">
        <f t="shared" si="1"/>
        <v>#REF!</v>
      </c>
    </row>
    <row r="74" spans="1:5" ht="30" x14ac:dyDescent="0.25">
      <c r="A74" s="6" t="s">
        <v>138</v>
      </c>
      <c r="B74" s="7">
        <v>713188.46</v>
      </c>
      <c r="D74" s="4" t="e">
        <f>#REF!</f>
        <v>#REF!</v>
      </c>
      <c r="E74" s="4" t="e">
        <f t="shared" si="1"/>
        <v>#REF!</v>
      </c>
    </row>
    <row r="75" spans="1:5" x14ac:dyDescent="0.25">
      <c r="A75" s="6" t="s">
        <v>139</v>
      </c>
      <c r="B75" s="7">
        <v>-5458382.25</v>
      </c>
      <c r="D75" s="4" t="e">
        <f>#REF!</f>
        <v>#REF!</v>
      </c>
      <c r="E75" s="4" t="e">
        <f>B75-D75</f>
        <v>#REF!</v>
      </c>
    </row>
    <row r="76" spans="1:5" x14ac:dyDescent="0.25">
      <c r="A76" s="6" t="s">
        <v>140</v>
      </c>
      <c r="B76" s="7">
        <v>-103507.5</v>
      </c>
      <c r="D76" s="4" t="e">
        <f>#REF!</f>
        <v>#REF!</v>
      </c>
      <c r="E76" s="4" t="e">
        <f t="shared" si="1"/>
        <v>#REF!</v>
      </c>
    </row>
    <row r="77" spans="1:5" ht="30" x14ac:dyDescent="0.25">
      <c r="A77" s="6" t="s">
        <v>141</v>
      </c>
      <c r="B77" s="7">
        <v>-58.44</v>
      </c>
      <c r="D77" s="4" t="e">
        <f>#REF!</f>
        <v>#REF!</v>
      </c>
      <c r="E77" s="4" t="e">
        <f t="shared" si="1"/>
        <v>#REF!</v>
      </c>
    </row>
    <row r="78" spans="1:5" ht="30" x14ac:dyDescent="0.25">
      <c r="A78" s="6" t="s">
        <v>142</v>
      </c>
      <c r="B78" s="7">
        <v>-534100</v>
      </c>
      <c r="D78" s="4" t="e">
        <f>#REF!</f>
        <v>#REF!</v>
      </c>
      <c r="E78" s="4" t="e">
        <f t="shared" si="1"/>
        <v>#REF!</v>
      </c>
    </row>
    <row r="79" spans="1:5" ht="30" x14ac:dyDescent="0.25">
      <c r="A79" s="6" t="s">
        <v>143</v>
      </c>
      <c r="B79" s="7">
        <v>-23685</v>
      </c>
      <c r="D79" s="4" t="e">
        <f>#REF!</f>
        <v>#REF!</v>
      </c>
      <c r="E79" s="4" t="e">
        <f t="shared" ref="E79:E88" si="2">B79-D79</f>
        <v>#REF!</v>
      </c>
    </row>
    <row r="80" spans="1:5" ht="30" x14ac:dyDescent="0.25">
      <c r="A80" s="6" t="s">
        <v>144</v>
      </c>
      <c r="B80" s="7">
        <v>-271741.58</v>
      </c>
      <c r="D80" s="4" t="e">
        <f>#REF!</f>
        <v>#REF!</v>
      </c>
      <c r="E80" s="4" t="e">
        <f t="shared" si="2"/>
        <v>#REF!</v>
      </c>
    </row>
    <row r="81" spans="1:5" ht="30" x14ac:dyDescent="0.25">
      <c r="A81" s="6" t="s">
        <v>145</v>
      </c>
      <c r="B81" s="7">
        <v>-400603.9</v>
      </c>
      <c r="D81" s="4" t="e">
        <f>#REF!</f>
        <v>#REF!</v>
      </c>
      <c r="E81" s="4" t="e">
        <f t="shared" si="2"/>
        <v>#REF!</v>
      </c>
    </row>
    <row r="82" spans="1:5" ht="30" x14ac:dyDescent="0.25">
      <c r="A82" s="6" t="s">
        <v>146</v>
      </c>
      <c r="B82" s="7">
        <v>-8780</v>
      </c>
      <c r="D82" s="4" t="e">
        <f>#REF!</f>
        <v>#REF!</v>
      </c>
      <c r="E82" s="4" t="e">
        <f t="shared" si="2"/>
        <v>#REF!</v>
      </c>
    </row>
    <row r="83" spans="1:5" x14ac:dyDescent="0.25">
      <c r="A83" s="6" t="s">
        <v>147</v>
      </c>
      <c r="B83" s="7">
        <v>100</v>
      </c>
      <c r="D83" s="4" t="e">
        <f>#REF!</f>
        <v>#REF!</v>
      </c>
      <c r="E83" s="4" t="e">
        <f t="shared" si="2"/>
        <v>#REF!</v>
      </c>
    </row>
    <row r="84" spans="1:5" x14ac:dyDescent="0.25">
      <c r="A84" s="6" t="s">
        <v>148</v>
      </c>
      <c r="B84" s="7">
        <v>38480</v>
      </c>
      <c r="D84" s="4" t="e">
        <f>#REF!</f>
        <v>#REF!</v>
      </c>
      <c r="E84" s="4" t="e">
        <f t="shared" si="2"/>
        <v>#REF!</v>
      </c>
    </row>
    <row r="85" spans="1:5" x14ac:dyDescent="0.25">
      <c r="A85" s="6" t="s">
        <v>149</v>
      </c>
      <c r="B85" s="7">
        <v>204010.52</v>
      </c>
      <c r="D85" s="4" t="e">
        <f>#REF!</f>
        <v>#REF!</v>
      </c>
      <c r="E85" s="4" t="e">
        <f t="shared" si="2"/>
        <v>#REF!</v>
      </c>
    </row>
    <row r="86" spans="1:5" x14ac:dyDescent="0.25">
      <c r="A86" s="6" t="s">
        <v>150</v>
      </c>
      <c r="B86" s="7">
        <v>82792.240000000005</v>
      </c>
      <c r="D86" s="4" t="e">
        <f>#REF!</f>
        <v>#REF!</v>
      </c>
      <c r="E86" s="4" t="e">
        <f t="shared" si="2"/>
        <v>#REF!</v>
      </c>
    </row>
    <row r="87" spans="1:5" ht="30" x14ac:dyDescent="0.25">
      <c r="A87" s="6" t="s">
        <v>151</v>
      </c>
      <c r="B87" s="7">
        <v>7.24</v>
      </c>
      <c r="D87" s="4" t="e">
        <f>#REF!</f>
        <v>#REF!</v>
      </c>
      <c r="E87" s="4" t="e">
        <f t="shared" si="2"/>
        <v>#REF!</v>
      </c>
    </row>
    <row r="88" spans="1:5" x14ac:dyDescent="0.25">
      <c r="A88" s="6" t="s">
        <v>152</v>
      </c>
      <c r="B88" s="7">
        <v>39000</v>
      </c>
      <c r="D88" s="4" t="e">
        <f>#REF!</f>
        <v>#REF!</v>
      </c>
      <c r="E88" s="4" t="e">
        <f t="shared" si="2"/>
        <v>#REF!</v>
      </c>
    </row>
    <row r="90" spans="1:5" x14ac:dyDescent="0.25">
      <c r="D90" s="7">
        <f>SUM(B2:B88)</f>
        <v>-861146619.62000024</v>
      </c>
      <c r="E90" s="4" t="e">
        <f>#REF!</f>
        <v>#REF!</v>
      </c>
    </row>
    <row r="91" spans="1:5" x14ac:dyDescent="0.25">
      <c r="D91" s="4">
        <f>'[4]Conso-BOAS 2022'!$D$50+[5]BOAS!$D$15+'[6]FC 6'!$D$13+'[6] FC 7 '!$E$17</f>
        <v>-861146619.61999989</v>
      </c>
    </row>
    <row r="92" spans="1:5" x14ac:dyDescent="0.25">
      <c r="D92" s="4" t="e">
        <f>-861146619.62+#REF!</f>
        <v>#REF!</v>
      </c>
      <c r="E92" s="4" t="e">
        <f>D90-E90</f>
        <v>#REF!</v>
      </c>
    </row>
    <row r="93" spans="1:5" x14ac:dyDescent="0.25">
      <c r="D93" s="4">
        <f>D90-D91</f>
        <v>0</v>
      </c>
    </row>
    <row r="99" spans="2:4" x14ac:dyDescent="0.25">
      <c r="B99" s="4">
        <f>SUM(B2:B98)</f>
        <v>-861146619.62000024</v>
      </c>
      <c r="D99" s="4" t="e">
        <f>SUM(D2:D88)</f>
        <v>#REF!</v>
      </c>
    </row>
  </sheetData>
  <autoFilter ref="A13:D88"/>
  <conditionalFormatting sqref="A1:A1048576">
    <cfRule type="duplicateValues" dxfId="144" priority="3"/>
  </conditionalFormatting>
  <conditionalFormatting sqref="E1:E1048576">
    <cfRule type="cellIs" dxfId="143" priority="1" operator="lessThan">
      <formula>0</formula>
    </cfRule>
    <cfRule type="cellIs" dxfId="142" priority="2" operator="greater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6"/>
  <sheetViews>
    <sheetView view="pageBreakPreview" topLeftCell="I1" zoomScale="81" zoomScaleNormal="85" zoomScaleSheetLayoutView="81" workbookViewId="0">
      <selection activeCell="J33" sqref="J33"/>
    </sheetView>
  </sheetViews>
  <sheetFormatPr defaultColWidth="9.140625" defaultRowHeight="15" x14ac:dyDescent="0.2"/>
  <cols>
    <col min="1" max="1" width="2.28515625" style="38" customWidth="1"/>
    <col min="2" max="2" width="22.5703125" style="38" customWidth="1"/>
    <col min="3" max="3" width="39.28515625" style="38" customWidth="1"/>
    <col min="4" max="4" width="17.85546875" style="39" bestFit="1" customWidth="1"/>
    <col min="5" max="5" width="26.140625" style="38" customWidth="1"/>
    <col min="6" max="7" width="14.28515625" style="38" customWidth="1"/>
    <col min="8" max="8" width="17.85546875" style="38" bestFit="1" customWidth="1"/>
    <col min="9" max="9" width="15.85546875" style="38" customWidth="1"/>
    <col min="10" max="10" width="18.42578125" style="38" bestFit="1" customWidth="1"/>
    <col min="11" max="11" width="17" style="38" bestFit="1" customWidth="1"/>
    <col min="12" max="13" width="17.140625" style="38" bestFit="1" customWidth="1"/>
    <col min="14" max="14" width="15.42578125" style="38" hidden="1" customWidth="1"/>
    <col min="15" max="15" width="13.85546875" style="38" hidden="1" customWidth="1"/>
    <col min="16" max="16" width="16.140625" style="38" customWidth="1"/>
    <col min="17" max="17" width="14" style="38" customWidth="1"/>
    <col min="18" max="19" width="14.140625" style="38" bestFit="1" customWidth="1"/>
    <col min="20" max="16384" width="9.140625" style="38"/>
  </cols>
  <sheetData>
    <row r="1" spans="1:20" ht="15.75" x14ac:dyDescent="0.25">
      <c r="A1" s="37" t="s">
        <v>0</v>
      </c>
    </row>
    <row r="2" spans="1:20" ht="15.75" x14ac:dyDescent="0.25">
      <c r="A2" s="37" t="s">
        <v>1</v>
      </c>
      <c r="B2" s="37"/>
    </row>
    <row r="3" spans="1:20" ht="15.75" x14ac:dyDescent="0.25">
      <c r="A3" s="37" t="str">
        <f>' FC 7 2024'!B3</f>
        <v>As of MARCH 31, 2024</v>
      </c>
      <c r="B3" s="37"/>
    </row>
    <row r="4" spans="1:20" ht="15.75" x14ac:dyDescent="0.25">
      <c r="A4" s="37" t="s">
        <v>203</v>
      </c>
      <c r="B4" s="37"/>
    </row>
    <row r="5" spans="1:20" ht="15.75" x14ac:dyDescent="0.25">
      <c r="A5" s="37"/>
      <c r="B5" s="37"/>
    </row>
    <row r="6" spans="1:20" ht="15.75" customHeight="1" x14ac:dyDescent="0.25">
      <c r="A6" s="442" t="s">
        <v>3</v>
      </c>
      <c r="B6" s="442"/>
      <c r="C6" s="442"/>
      <c r="D6" s="443" t="s">
        <v>4</v>
      </c>
      <c r="E6" s="444" t="s">
        <v>5</v>
      </c>
      <c r="F6" s="444"/>
      <c r="G6" s="444"/>
      <c r="H6" s="444"/>
      <c r="I6" s="444"/>
      <c r="J6" s="444"/>
      <c r="K6" s="444"/>
      <c r="L6" s="444"/>
      <c r="M6" s="444"/>
      <c r="N6" s="445" t="s">
        <v>183</v>
      </c>
      <c r="O6" s="446"/>
      <c r="P6" s="445" t="s">
        <v>320</v>
      </c>
      <c r="Q6" s="446"/>
    </row>
    <row r="7" spans="1:20" ht="15.75" x14ac:dyDescent="0.25">
      <c r="A7" s="442"/>
      <c r="B7" s="442"/>
      <c r="C7" s="442"/>
      <c r="D7" s="443"/>
      <c r="E7" s="451" t="s">
        <v>7</v>
      </c>
      <c r="F7" s="452"/>
      <c r="G7" s="452"/>
      <c r="H7" s="453"/>
      <c r="I7" s="444" t="s">
        <v>8</v>
      </c>
      <c r="J7" s="444"/>
      <c r="K7" s="444"/>
      <c r="L7" s="444"/>
      <c r="M7" s="444"/>
      <c r="N7" s="447"/>
      <c r="O7" s="448"/>
      <c r="P7" s="447"/>
      <c r="Q7" s="448"/>
    </row>
    <row r="8" spans="1:20" s="41" customFormat="1" ht="30" x14ac:dyDescent="0.25">
      <c r="A8" s="442"/>
      <c r="B8" s="442"/>
      <c r="C8" s="442"/>
      <c r="D8" s="443"/>
      <c r="E8" s="40" t="s">
        <v>9</v>
      </c>
      <c r="F8" s="40" t="s">
        <v>10</v>
      </c>
      <c r="G8" s="40" t="s">
        <v>11</v>
      </c>
      <c r="H8" s="40" t="s">
        <v>12</v>
      </c>
      <c r="I8" s="40" t="s">
        <v>9</v>
      </c>
      <c r="J8" s="40" t="s">
        <v>10</v>
      </c>
      <c r="K8" s="40" t="s">
        <v>11</v>
      </c>
      <c r="L8" s="40" t="s">
        <v>13</v>
      </c>
      <c r="M8" s="40" t="s">
        <v>14</v>
      </c>
      <c r="N8" s="449"/>
      <c r="O8" s="450"/>
      <c r="P8" s="449"/>
      <c r="Q8" s="450"/>
    </row>
    <row r="9" spans="1:20" ht="15.75" x14ac:dyDescent="0.25">
      <c r="A9" s="42" t="s">
        <v>234</v>
      </c>
      <c r="B9" s="43"/>
      <c r="C9" s="44"/>
      <c r="D9" s="45">
        <v>35450.35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</row>
    <row r="10" spans="1:20" x14ac:dyDescent="0.2">
      <c r="A10" s="47"/>
      <c r="B10" s="43"/>
      <c r="C10" s="44"/>
      <c r="D10" s="45"/>
      <c r="E10" s="46"/>
      <c r="F10" s="46"/>
      <c r="G10" s="46"/>
      <c r="H10" s="46"/>
      <c r="I10" s="45"/>
      <c r="J10" s="45"/>
      <c r="K10" s="45"/>
      <c r="L10" s="45"/>
      <c r="M10" s="45"/>
      <c r="N10" s="45"/>
      <c r="O10" s="45"/>
      <c r="P10" s="45"/>
      <c r="Q10" s="45"/>
      <c r="R10" s="39"/>
      <c r="S10" s="39"/>
      <c r="T10" s="39"/>
    </row>
    <row r="11" spans="1:20" s="37" customFormat="1" ht="15.75" x14ac:dyDescent="0.25">
      <c r="A11" s="42"/>
      <c r="B11" s="48" t="s">
        <v>16</v>
      </c>
      <c r="C11" s="49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1"/>
      <c r="S11" s="51"/>
      <c r="T11" s="51"/>
    </row>
    <row r="12" spans="1:20" ht="15.75" x14ac:dyDescent="0.25">
      <c r="A12" s="47"/>
      <c r="B12" s="202" t="s">
        <v>243</v>
      </c>
      <c r="C12" s="49" t="s">
        <v>17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39"/>
      <c r="S12" s="39"/>
      <c r="T12" s="39"/>
    </row>
    <row r="13" spans="1:20" s="212" customFormat="1" ht="48.75" customHeight="1" x14ac:dyDescent="0.25">
      <c r="A13" s="206"/>
      <c r="B13" s="207">
        <v>4020221099</v>
      </c>
      <c r="C13" s="208" t="s">
        <v>188</v>
      </c>
      <c r="D13" s="209">
        <f>3.62-35453.97</f>
        <v>-35450.35</v>
      </c>
      <c r="E13" s="209" t="s">
        <v>188</v>
      </c>
      <c r="F13" s="209"/>
      <c r="G13" s="209">
        <v>3.62</v>
      </c>
      <c r="H13" s="209">
        <v>3.62</v>
      </c>
      <c r="I13" s="260" t="s">
        <v>246</v>
      </c>
      <c r="J13" s="209">
        <v>3.62</v>
      </c>
      <c r="K13" s="209">
        <v>35453.97</v>
      </c>
      <c r="L13" s="209">
        <f>+J13-K13</f>
        <v>-35450.35</v>
      </c>
      <c r="M13" s="209"/>
      <c r="N13" s="210"/>
      <c r="O13" s="209"/>
      <c r="P13" s="209">
        <f>D13</f>
        <v>-35450.35</v>
      </c>
      <c r="Q13" s="209"/>
      <c r="R13" s="211"/>
      <c r="S13" s="211"/>
      <c r="T13" s="211"/>
    </row>
    <row r="14" spans="1:20" ht="15.75" hidden="1" x14ac:dyDescent="0.25">
      <c r="A14" s="47"/>
      <c r="B14" s="43"/>
      <c r="C14" s="52" t="s">
        <v>181</v>
      </c>
      <c r="D14" s="50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39"/>
      <c r="S14" s="39"/>
      <c r="T14" s="39"/>
    </row>
    <row r="15" spans="1:20" ht="15.75" hidden="1" x14ac:dyDescent="0.25">
      <c r="A15" s="47"/>
      <c r="B15" s="43"/>
      <c r="C15" s="44" t="s">
        <v>180</v>
      </c>
      <c r="D15" s="50"/>
      <c r="E15" s="45"/>
      <c r="F15" s="45"/>
      <c r="G15" s="45"/>
      <c r="H15" s="45">
        <f t="shared" ref="H15" si="0">+G15-F15</f>
        <v>0</v>
      </c>
      <c r="I15" s="45"/>
      <c r="J15" s="45"/>
      <c r="K15" s="45"/>
      <c r="L15" s="45"/>
      <c r="M15" s="45"/>
      <c r="N15" s="45"/>
      <c r="O15" s="45"/>
      <c r="P15" s="45"/>
      <c r="Q15" s="45"/>
      <c r="R15" s="39"/>
      <c r="S15" s="39"/>
      <c r="T15" s="39"/>
    </row>
    <row r="16" spans="1:20" ht="15.75" hidden="1" x14ac:dyDescent="0.25">
      <c r="A16" s="47"/>
      <c r="B16" s="43"/>
      <c r="C16" s="52" t="s">
        <v>181</v>
      </c>
      <c r="D16" s="50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39"/>
      <c r="S16" s="39"/>
      <c r="T16" s="39"/>
    </row>
    <row r="17" spans="1:20" s="37" customFormat="1" ht="15.75" hidden="1" x14ac:dyDescent="0.25">
      <c r="A17" s="42"/>
      <c r="B17" s="48" t="s">
        <v>23</v>
      </c>
      <c r="C17" s="49"/>
      <c r="D17" s="50"/>
      <c r="E17" s="50">
        <f>SUM(E18:E22)</f>
        <v>0</v>
      </c>
      <c r="F17" s="50"/>
      <c r="G17" s="50"/>
      <c r="H17" s="50">
        <f>SUM(H18:H30)</f>
        <v>0</v>
      </c>
      <c r="I17" s="50"/>
      <c r="J17" s="50"/>
      <c r="K17" s="50"/>
      <c r="L17" s="50"/>
      <c r="M17" s="50"/>
      <c r="N17" s="50"/>
      <c r="O17" s="50"/>
      <c r="P17" s="50"/>
      <c r="Q17" s="50"/>
      <c r="R17" s="51"/>
      <c r="S17" s="51"/>
      <c r="T17" s="51"/>
    </row>
    <row r="18" spans="1:20" ht="15.75" hidden="1" x14ac:dyDescent="0.25">
      <c r="A18" s="47"/>
      <c r="B18" s="43"/>
      <c r="C18" s="44" t="s">
        <v>24</v>
      </c>
      <c r="D18" s="50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39"/>
      <c r="S18" s="39"/>
      <c r="T18" s="39"/>
    </row>
    <row r="19" spans="1:20" hidden="1" x14ac:dyDescent="0.2">
      <c r="A19" s="47"/>
      <c r="B19" s="43"/>
      <c r="C19" s="52" t="s">
        <v>204</v>
      </c>
      <c r="D19" s="45"/>
      <c r="E19" s="45"/>
      <c r="F19" s="45"/>
      <c r="G19" s="45"/>
      <c r="H19" s="45">
        <f>+F19-G19</f>
        <v>0</v>
      </c>
      <c r="I19" s="45" t="s">
        <v>205</v>
      </c>
      <c r="J19" s="45"/>
      <c r="K19" s="45"/>
      <c r="L19" s="45"/>
      <c r="M19" s="45">
        <f>+K19-J19</f>
        <v>0</v>
      </c>
      <c r="N19" s="45"/>
      <c r="O19" s="45"/>
      <c r="P19" s="45"/>
      <c r="Q19" s="45"/>
      <c r="R19" s="39"/>
      <c r="S19" s="39"/>
      <c r="T19" s="39"/>
    </row>
    <row r="20" spans="1:20" hidden="1" x14ac:dyDescent="0.2">
      <c r="A20" s="47"/>
      <c r="B20" s="43"/>
      <c r="C20" s="52" t="s">
        <v>206</v>
      </c>
      <c r="D20" s="45"/>
      <c r="E20" s="45"/>
      <c r="F20" s="45"/>
      <c r="G20" s="45"/>
      <c r="H20" s="45">
        <f>+F20-G20</f>
        <v>0</v>
      </c>
      <c r="I20" s="45" t="s">
        <v>207</v>
      </c>
      <c r="J20" s="45"/>
      <c r="K20" s="45"/>
      <c r="L20" s="45"/>
      <c r="M20" s="45">
        <f>+K20-J20</f>
        <v>0</v>
      </c>
      <c r="N20" s="45"/>
      <c r="O20" s="45"/>
      <c r="P20" s="45"/>
      <c r="Q20" s="45"/>
      <c r="R20" s="39"/>
      <c r="S20" s="39"/>
      <c r="T20" s="39"/>
    </row>
    <row r="21" spans="1:20" ht="15.75" hidden="1" x14ac:dyDescent="0.25">
      <c r="A21" s="47"/>
      <c r="B21" s="43"/>
      <c r="C21" s="52" t="s">
        <v>181</v>
      </c>
      <c r="D21" s="50"/>
      <c r="E21" s="45"/>
      <c r="F21" s="45"/>
      <c r="G21" s="45"/>
      <c r="H21" s="45">
        <f t="shared" ref="H21:H30" si="1">+F21-G21</f>
        <v>0</v>
      </c>
      <c r="I21" s="45"/>
      <c r="J21" s="45"/>
      <c r="K21" s="45"/>
      <c r="L21" s="45"/>
      <c r="M21" s="45"/>
      <c r="N21" s="45"/>
      <c r="O21" s="45"/>
      <c r="P21" s="45"/>
      <c r="Q21" s="45"/>
      <c r="R21" s="39"/>
      <c r="S21" s="39"/>
      <c r="T21" s="39"/>
    </row>
    <row r="22" spans="1:20" ht="15.75" hidden="1" x14ac:dyDescent="0.25">
      <c r="A22" s="47"/>
      <c r="B22" s="43"/>
      <c r="C22" s="44" t="s">
        <v>71</v>
      </c>
      <c r="D22" s="50"/>
      <c r="E22" s="45"/>
      <c r="F22" s="45"/>
      <c r="G22" s="45"/>
      <c r="H22" s="45">
        <f t="shared" si="1"/>
        <v>0</v>
      </c>
      <c r="I22" s="45"/>
      <c r="J22" s="45"/>
      <c r="K22" s="45"/>
      <c r="L22" s="45"/>
      <c r="M22" s="45"/>
      <c r="N22" s="45"/>
      <c r="O22" s="45"/>
      <c r="P22" s="45"/>
      <c r="Q22" s="45"/>
      <c r="R22" s="39"/>
      <c r="S22" s="39"/>
      <c r="T22" s="39"/>
    </row>
    <row r="23" spans="1:20" hidden="1" x14ac:dyDescent="0.2">
      <c r="A23" s="47"/>
      <c r="B23" s="43"/>
      <c r="C23" s="52" t="s">
        <v>208</v>
      </c>
      <c r="D23" s="45"/>
      <c r="E23" s="45"/>
      <c r="F23" s="45"/>
      <c r="G23" s="45"/>
      <c r="H23" s="45">
        <f t="shared" si="1"/>
        <v>0</v>
      </c>
      <c r="I23" s="45" t="s">
        <v>205</v>
      </c>
      <c r="J23" s="45"/>
      <c r="K23" s="45"/>
      <c r="L23" s="45">
        <f>+J23-K23</f>
        <v>0</v>
      </c>
      <c r="M23" s="45"/>
      <c r="N23" s="45"/>
      <c r="O23" s="45"/>
      <c r="P23" s="45"/>
      <c r="Q23" s="45"/>
      <c r="R23" s="39"/>
      <c r="S23" s="39"/>
      <c r="T23" s="39"/>
    </row>
    <row r="24" spans="1:20" hidden="1" x14ac:dyDescent="0.2">
      <c r="A24" s="47"/>
      <c r="B24" s="43"/>
      <c r="C24" s="52" t="s">
        <v>209</v>
      </c>
      <c r="D24" s="45"/>
      <c r="E24" s="45"/>
      <c r="F24" s="45"/>
      <c r="G24" s="45"/>
      <c r="H24" s="45">
        <f t="shared" si="1"/>
        <v>0</v>
      </c>
      <c r="I24" s="45" t="s">
        <v>189</v>
      </c>
      <c r="J24" s="45"/>
      <c r="K24" s="45"/>
      <c r="L24" s="45">
        <f>+J24-K24</f>
        <v>0</v>
      </c>
      <c r="M24" s="45"/>
      <c r="N24" s="45"/>
      <c r="O24" s="45"/>
      <c r="P24" s="45"/>
      <c r="Q24" s="45"/>
      <c r="R24" s="39"/>
      <c r="S24" s="39"/>
      <c r="T24" s="39"/>
    </row>
    <row r="25" spans="1:20" s="37" customFormat="1" ht="15.75" hidden="1" x14ac:dyDescent="0.25">
      <c r="A25" s="42"/>
      <c r="B25" s="48"/>
      <c r="C25" s="52" t="s">
        <v>181</v>
      </c>
      <c r="D25" s="50"/>
      <c r="E25" s="50"/>
      <c r="F25" s="50"/>
      <c r="G25" s="50"/>
      <c r="H25" s="45">
        <f t="shared" si="1"/>
        <v>0</v>
      </c>
      <c r="I25" s="50"/>
      <c r="J25" s="50"/>
      <c r="K25" s="50"/>
      <c r="L25" s="50"/>
      <c r="M25" s="50"/>
      <c r="N25" s="50"/>
      <c r="O25" s="50"/>
      <c r="P25" s="50"/>
      <c r="Q25" s="50"/>
      <c r="R25" s="51"/>
      <c r="S25" s="51"/>
      <c r="T25" s="51"/>
    </row>
    <row r="26" spans="1:20" s="37" customFormat="1" ht="15.75" hidden="1" x14ac:dyDescent="0.25">
      <c r="A26" s="42"/>
      <c r="B26" s="48"/>
      <c r="C26" s="43" t="s">
        <v>87</v>
      </c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1"/>
      <c r="S26" s="51"/>
      <c r="T26" s="51"/>
    </row>
    <row r="27" spans="1:20" ht="15.75" hidden="1" x14ac:dyDescent="0.25">
      <c r="A27" s="47"/>
      <c r="B27" s="48"/>
      <c r="C27" s="52" t="s">
        <v>166</v>
      </c>
      <c r="D27" s="54"/>
      <c r="E27" s="55"/>
      <c r="F27" s="45"/>
      <c r="G27" s="45"/>
      <c r="H27" s="45">
        <f t="shared" si="1"/>
        <v>0</v>
      </c>
      <c r="I27" s="45" t="s">
        <v>91</v>
      </c>
      <c r="J27" s="45"/>
      <c r="K27" s="45"/>
      <c r="L27" s="45">
        <f>+J27-K27</f>
        <v>0</v>
      </c>
      <c r="M27" s="45"/>
      <c r="N27" s="45"/>
      <c r="O27" s="45"/>
      <c r="P27" s="45"/>
      <c r="Q27" s="45"/>
      <c r="R27" s="39"/>
      <c r="S27" s="39"/>
      <c r="T27" s="39"/>
    </row>
    <row r="28" spans="1:20" ht="15.75" hidden="1" x14ac:dyDescent="0.25">
      <c r="A28" s="47"/>
      <c r="B28" s="48"/>
      <c r="C28" s="52" t="s">
        <v>200</v>
      </c>
      <c r="D28" s="54"/>
      <c r="E28" s="55"/>
      <c r="F28" s="45"/>
      <c r="G28" s="45"/>
      <c r="H28" s="45">
        <f t="shared" si="1"/>
        <v>0</v>
      </c>
      <c r="I28" s="45" t="s">
        <v>89</v>
      </c>
      <c r="J28" s="45"/>
      <c r="K28" s="45"/>
      <c r="L28" s="45">
        <f t="shared" ref="L28" si="2">+J28-K28</f>
        <v>0</v>
      </c>
      <c r="M28" s="45"/>
      <c r="N28" s="45"/>
      <c r="O28" s="45"/>
      <c r="P28" s="45"/>
      <c r="Q28" s="45"/>
      <c r="R28" s="39"/>
      <c r="S28" s="39"/>
      <c r="T28" s="39"/>
    </row>
    <row r="29" spans="1:20" ht="15.75" hidden="1" x14ac:dyDescent="0.25">
      <c r="A29" s="47"/>
      <c r="B29" s="48"/>
      <c r="C29" s="52" t="s">
        <v>137</v>
      </c>
      <c r="D29" s="54"/>
      <c r="E29" s="5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 t="s">
        <v>126</v>
      </c>
      <c r="Q29" s="45"/>
      <c r="R29" s="39"/>
      <c r="S29" s="39"/>
      <c r="T29" s="39"/>
    </row>
    <row r="30" spans="1:20" ht="15.75" hidden="1" x14ac:dyDescent="0.25">
      <c r="A30" s="47"/>
      <c r="B30" s="48"/>
      <c r="C30" s="52" t="s">
        <v>181</v>
      </c>
      <c r="D30" s="45"/>
      <c r="E30" s="45"/>
      <c r="F30" s="45"/>
      <c r="G30" s="45"/>
      <c r="H30" s="45">
        <f t="shared" si="1"/>
        <v>0</v>
      </c>
      <c r="I30" s="45"/>
      <c r="J30" s="45"/>
      <c r="K30" s="45"/>
      <c r="L30" s="45"/>
      <c r="M30" s="45"/>
      <c r="N30" s="45"/>
      <c r="O30" s="45"/>
      <c r="P30" s="45"/>
      <c r="Q30" s="45"/>
      <c r="R30" s="39"/>
      <c r="S30" s="39"/>
      <c r="T30" s="39"/>
    </row>
    <row r="31" spans="1:20" s="37" customFormat="1" ht="27.75" customHeight="1" x14ac:dyDescent="0.25">
      <c r="A31" s="213" t="str">
        <f>'FC1 2024'!A117</f>
        <v>Balance as of March 31, 2024</v>
      </c>
      <c r="B31" s="48"/>
      <c r="C31" s="49"/>
      <c r="D31" s="50">
        <f>SUM(D9:D30)</f>
        <v>0</v>
      </c>
      <c r="E31" s="50">
        <f>E9+E26+E17+E11</f>
        <v>0</v>
      </c>
      <c r="F31" s="50"/>
      <c r="G31" s="50"/>
      <c r="H31" s="50">
        <f>SUM(H9:H30)</f>
        <v>3.62</v>
      </c>
      <c r="I31" s="50">
        <f>SUM(I12:I30)</f>
        <v>0</v>
      </c>
      <c r="J31" s="50"/>
      <c r="K31" s="50"/>
      <c r="L31" s="50">
        <f>SUM(L9:L30)</f>
        <v>-35450.35</v>
      </c>
      <c r="M31" s="50">
        <f>SUM(M9:M30)</f>
        <v>0</v>
      </c>
      <c r="N31" s="50"/>
      <c r="O31" s="50">
        <f>SUM(O11:O30)</f>
        <v>0</v>
      </c>
      <c r="P31" s="50">
        <f>SUM(P11:P30)</f>
        <v>-35450.35</v>
      </c>
      <c r="Q31" s="50">
        <f>SUM(Q11:Q30)</f>
        <v>0</v>
      </c>
      <c r="R31" s="51"/>
      <c r="S31" s="51"/>
      <c r="T31" s="51"/>
    </row>
    <row r="32" spans="1:20" x14ac:dyDescent="0.2">
      <c r="A32" s="57" t="s">
        <v>162</v>
      </c>
      <c r="D32" s="39">
        <f>D31-[35]FC1SGE!$J$15</f>
        <v>0</v>
      </c>
      <c r="G32" s="252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</row>
    <row r="33" spans="1:20" ht="15.75" x14ac:dyDescent="0.25">
      <c r="A33" s="57"/>
      <c r="C33" s="37" t="s">
        <v>116</v>
      </c>
      <c r="E33" s="37" t="s">
        <v>117</v>
      </c>
      <c r="I33" s="37" t="s">
        <v>118</v>
      </c>
      <c r="J33" s="39"/>
      <c r="K33" s="39"/>
      <c r="L33" s="39"/>
      <c r="M33" s="37"/>
      <c r="N33" s="37"/>
      <c r="O33" s="37"/>
      <c r="P33" s="58" t="s">
        <v>159</v>
      </c>
      <c r="Q33" s="39"/>
      <c r="R33" s="39"/>
      <c r="S33" s="39"/>
      <c r="T33" s="39"/>
    </row>
    <row r="34" spans="1:20" x14ac:dyDescent="0.2">
      <c r="C34" s="59" t="s">
        <v>120</v>
      </c>
      <c r="D34" s="39">
        <f>D31</f>
        <v>0</v>
      </c>
      <c r="I34" s="39"/>
      <c r="J34" s="60" t="s">
        <v>121</v>
      </c>
      <c r="K34" s="61"/>
      <c r="L34" s="39">
        <f>L31</f>
        <v>-35450.35</v>
      </c>
      <c r="M34" s="39"/>
      <c r="N34" s="39"/>
      <c r="O34" s="39"/>
      <c r="P34" s="39"/>
      <c r="Q34" s="39"/>
      <c r="R34" s="39"/>
      <c r="S34" s="39"/>
      <c r="T34" s="39"/>
    </row>
    <row r="35" spans="1:20" x14ac:dyDescent="0.2">
      <c r="C35" s="59" t="s">
        <v>122</v>
      </c>
      <c r="D35" s="39">
        <f>D9</f>
        <v>35450.35</v>
      </c>
      <c r="I35" s="39"/>
      <c r="J35" s="60" t="s">
        <v>123</v>
      </c>
      <c r="K35" s="61"/>
      <c r="L35" s="39">
        <f>M31</f>
        <v>0</v>
      </c>
      <c r="M35" s="39"/>
      <c r="N35" s="39"/>
      <c r="O35" s="39"/>
      <c r="P35" s="39"/>
      <c r="Q35" s="39"/>
      <c r="R35" s="39"/>
      <c r="S35" s="39"/>
      <c r="T35" s="39"/>
    </row>
    <row r="36" spans="1:20" ht="15.75" x14ac:dyDescent="0.25">
      <c r="C36" s="62" t="s">
        <v>124</v>
      </c>
      <c r="D36" s="51">
        <f>+D34-D35</f>
        <v>-35450.35</v>
      </c>
      <c r="E36" s="63" t="s">
        <v>125</v>
      </c>
      <c r="H36" s="64">
        <f>+H31</f>
        <v>3.62</v>
      </c>
      <c r="I36" s="39"/>
      <c r="J36" s="60" t="s">
        <v>126</v>
      </c>
      <c r="K36" s="65"/>
      <c r="L36" s="51"/>
      <c r="M36" s="39"/>
      <c r="N36" s="39"/>
      <c r="O36" s="39"/>
      <c r="P36" s="51" t="s">
        <v>126</v>
      </c>
      <c r="Q36" s="51">
        <f>P31</f>
        <v>-35450.35</v>
      </c>
      <c r="R36" s="39"/>
      <c r="S36" s="39"/>
      <c r="T36" s="39"/>
    </row>
    <row r="37" spans="1:20" ht="15.75" x14ac:dyDescent="0.25">
      <c r="I37" s="39"/>
      <c r="J37" s="66" t="s">
        <v>127</v>
      </c>
      <c r="K37" s="51"/>
      <c r="L37" s="51">
        <f>L34-L35</f>
        <v>-35450.35</v>
      </c>
      <c r="M37" s="51"/>
      <c r="N37" s="51"/>
      <c r="O37" s="51"/>
      <c r="P37" s="39"/>
      <c r="Q37" s="39"/>
      <c r="R37" s="39"/>
      <c r="S37" s="39"/>
      <c r="T37" s="39"/>
    </row>
    <row r="38" spans="1:20" s="67" customFormat="1" x14ac:dyDescent="0.2">
      <c r="D38" s="68"/>
      <c r="I38" s="68"/>
      <c r="J38" s="68"/>
      <c r="K38" s="68"/>
      <c r="L38" s="68">
        <f>D36-L37</f>
        <v>0</v>
      </c>
      <c r="M38" s="68"/>
      <c r="N38" s="68"/>
      <c r="O38" s="68"/>
      <c r="P38" s="68"/>
      <c r="Q38" s="68"/>
      <c r="R38" s="68"/>
      <c r="S38" s="68"/>
      <c r="T38" s="68"/>
    </row>
    <row r="39" spans="1:20" s="67" customFormat="1" x14ac:dyDescent="0.2">
      <c r="D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</row>
    <row r="40" spans="1:20" s="67" customFormat="1" ht="15.75" x14ac:dyDescent="0.25">
      <c r="C40" s="84"/>
      <c r="D40" s="68"/>
      <c r="I40" s="454"/>
      <c r="J40" s="454"/>
      <c r="K40" s="454"/>
      <c r="L40" s="454"/>
      <c r="M40" s="454"/>
      <c r="N40" s="454"/>
      <c r="O40" s="454"/>
      <c r="P40" s="454"/>
      <c r="Q40" s="454"/>
      <c r="R40" s="68"/>
      <c r="S40" s="68"/>
      <c r="T40" s="68"/>
    </row>
    <row r="41" spans="1:20" s="67" customFormat="1" hidden="1" x14ac:dyDescent="0.2">
      <c r="C41" s="71"/>
      <c r="D41" s="68"/>
      <c r="I41" s="73"/>
      <c r="J41" s="73"/>
      <c r="K41" s="73"/>
      <c r="L41" s="73"/>
      <c r="M41" s="73"/>
      <c r="N41" s="73"/>
      <c r="O41" s="73"/>
      <c r="P41" s="73"/>
      <c r="Q41" s="73"/>
      <c r="R41" s="68"/>
      <c r="S41" s="68"/>
      <c r="T41" s="68"/>
    </row>
    <row r="42" spans="1:20" s="74" customFormat="1" ht="16.5" x14ac:dyDescent="0.3">
      <c r="D42" s="75" t="s">
        <v>130</v>
      </c>
      <c r="E42" s="77"/>
      <c r="J42" s="77"/>
      <c r="K42" s="3" t="s">
        <v>131</v>
      </c>
      <c r="L42" s="77"/>
      <c r="M42" s="77"/>
      <c r="N42" s="77"/>
      <c r="O42" s="77"/>
      <c r="P42" s="76" t="s">
        <v>201</v>
      </c>
      <c r="Q42" s="76">
        <f>22029704.73-16100096.25</f>
        <v>5929608.4800000004</v>
      </c>
      <c r="R42" s="76"/>
      <c r="S42" s="76"/>
      <c r="T42" s="76"/>
    </row>
    <row r="43" spans="1:20" s="74" customFormat="1" ht="16.5" x14ac:dyDescent="0.3">
      <c r="E43" s="77"/>
      <c r="J43" s="77"/>
      <c r="K43" s="77"/>
      <c r="L43" s="77"/>
      <c r="M43" s="77"/>
      <c r="N43" s="77"/>
      <c r="O43" s="77"/>
      <c r="P43" s="76" t="s">
        <v>202</v>
      </c>
      <c r="Q43" s="78">
        <f>SUM(Q41:Q42)</f>
        <v>5929608.4800000004</v>
      </c>
      <c r="R43" s="76"/>
      <c r="S43" s="76"/>
      <c r="T43" s="79"/>
    </row>
    <row r="44" spans="1:20" s="74" customFormat="1" ht="16.5" x14ac:dyDescent="0.3">
      <c r="E44" s="77"/>
      <c r="J44" s="77"/>
      <c r="K44" s="77"/>
      <c r="L44" s="77"/>
      <c r="M44" s="77"/>
      <c r="N44" s="77"/>
      <c r="O44" s="77"/>
      <c r="P44" s="76"/>
      <c r="Q44" s="76"/>
      <c r="R44" s="76"/>
      <c r="S44" s="76"/>
      <c r="T44" s="80"/>
    </row>
    <row r="45" spans="1:20" s="74" customFormat="1" ht="16.5" x14ac:dyDescent="0.3">
      <c r="D45" s="455" t="s">
        <v>255</v>
      </c>
      <c r="E45" s="455"/>
      <c r="F45" s="455"/>
      <c r="J45" s="81"/>
      <c r="K45" s="455" t="s">
        <v>132</v>
      </c>
      <c r="L45" s="455"/>
      <c r="M45" s="455"/>
      <c r="N45" s="81"/>
      <c r="O45" s="81"/>
      <c r="P45" s="82"/>
      <c r="Q45" s="76"/>
      <c r="R45" s="76"/>
      <c r="S45" s="76"/>
      <c r="T45" s="80"/>
    </row>
    <row r="46" spans="1:20" s="74" customFormat="1" ht="16.5" x14ac:dyDescent="0.3">
      <c r="D46" s="456" t="s">
        <v>133</v>
      </c>
      <c r="E46" s="456"/>
      <c r="F46" s="456"/>
      <c r="J46" s="83"/>
      <c r="K46" s="456" t="s">
        <v>134</v>
      </c>
      <c r="L46" s="456"/>
      <c r="M46" s="456"/>
      <c r="N46" s="83"/>
      <c r="O46" s="83"/>
      <c r="P46" s="83"/>
      <c r="Q46" s="77"/>
      <c r="R46" s="77"/>
      <c r="S46" s="77"/>
    </row>
  </sheetData>
  <mergeCells count="12">
    <mergeCell ref="I40:Q40"/>
    <mergeCell ref="D45:F45"/>
    <mergeCell ref="K45:M45"/>
    <mergeCell ref="D46:F46"/>
    <mergeCell ref="K46:M46"/>
    <mergeCell ref="A6:C8"/>
    <mergeCell ref="D6:D8"/>
    <mergeCell ref="E6:M6"/>
    <mergeCell ref="N6:O8"/>
    <mergeCell ref="P6:Q8"/>
    <mergeCell ref="E7:H7"/>
    <mergeCell ref="I7:M7"/>
  </mergeCells>
  <printOptions horizontalCentered="1"/>
  <pageMargins left="0" right="0" top="0.75" bottom="0.75" header="0.3" footer="0.3"/>
  <pageSetup paperSize="9" scale="5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9"/>
  <sheetViews>
    <sheetView topLeftCell="B5" zoomScale="85" zoomScaleNormal="85" workbookViewId="0">
      <selection activeCell="D51" sqref="D51"/>
    </sheetView>
  </sheetViews>
  <sheetFormatPr defaultColWidth="9.140625" defaultRowHeight="15.75" x14ac:dyDescent="0.25"/>
  <cols>
    <col min="1" max="1" width="15.5703125" style="158" hidden="1" customWidth="1"/>
    <col min="2" max="2" width="2.28515625" style="158" customWidth="1"/>
    <col min="3" max="3" width="13.5703125" style="158" customWidth="1"/>
    <col min="4" max="4" width="54.28515625" style="158" customWidth="1"/>
    <col min="5" max="5" width="22.85546875" style="159" customWidth="1"/>
    <col min="6" max="6" width="24.5703125" style="158" customWidth="1"/>
    <col min="7" max="7" width="18.28515625" style="158" bestFit="1" customWidth="1"/>
    <col min="8" max="8" width="18.85546875" style="158" customWidth="1"/>
    <col min="9" max="9" width="16.28515625" style="158" customWidth="1"/>
    <col min="10" max="10" width="33.28515625" style="151" customWidth="1"/>
    <col min="11" max="11" width="15.5703125" style="158" customWidth="1"/>
    <col min="12" max="13" width="16.42578125" style="158" customWidth="1"/>
    <col min="14" max="14" width="19.42578125" style="158" customWidth="1"/>
    <col min="15" max="15" width="16.28515625" style="158" customWidth="1"/>
    <col min="16" max="16" width="17.140625" style="158" customWidth="1"/>
    <col min="17" max="17" width="13.42578125" style="158" bestFit="1" customWidth="1"/>
    <col min="18" max="19" width="14.42578125" style="158" bestFit="1" customWidth="1"/>
    <col min="20" max="20" width="13.85546875" style="158" bestFit="1" customWidth="1"/>
    <col min="21" max="16384" width="9.140625" style="158"/>
  </cols>
  <sheetData>
    <row r="1" spans="2:19" x14ac:dyDescent="0.25">
      <c r="B1" s="168" t="s">
        <v>210</v>
      </c>
    </row>
    <row r="2" spans="2:19" s="168" customFormat="1" x14ac:dyDescent="0.25">
      <c r="B2" s="168" t="s">
        <v>1</v>
      </c>
      <c r="E2" s="167"/>
      <c r="I2" s="169"/>
      <c r="J2" s="163"/>
    </row>
    <row r="3" spans="2:19" s="168" customFormat="1" x14ac:dyDescent="0.25">
      <c r="B3" s="168" t="s">
        <v>415</v>
      </c>
      <c r="E3" s="167"/>
      <c r="I3" s="169"/>
      <c r="J3" s="163"/>
    </row>
    <row r="4" spans="2:19" x14ac:dyDescent="0.25">
      <c r="B4" s="168" t="s">
        <v>211</v>
      </c>
      <c r="I4" s="170"/>
    </row>
    <row r="5" spans="2:19" x14ac:dyDescent="0.25">
      <c r="I5" s="170"/>
    </row>
    <row r="6" spans="2:19" s="168" customFormat="1" ht="16.5" customHeight="1" x14ac:dyDescent="0.25">
      <c r="B6" s="471" t="s">
        <v>3</v>
      </c>
      <c r="C6" s="471"/>
      <c r="D6" s="471"/>
      <c r="E6" s="472" t="s">
        <v>4</v>
      </c>
      <c r="F6" s="466" t="s">
        <v>5</v>
      </c>
      <c r="G6" s="466"/>
      <c r="H6" s="466"/>
      <c r="I6" s="466"/>
      <c r="J6" s="466"/>
      <c r="K6" s="466"/>
      <c r="L6" s="466"/>
      <c r="M6" s="466"/>
      <c r="N6" s="466"/>
      <c r="O6" s="457" t="s">
        <v>417</v>
      </c>
      <c r="P6" s="458"/>
    </row>
    <row r="7" spans="2:19" s="168" customFormat="1" x14ac:dyDescent="0.25">
      <c r="B7" s="471"/>
      <c r="C7" s="471"/>
      <c r="D7" s="471"/>
      <c r="E7" s="472"/>
      <c r="F7" s="463" t="s">
        <v>7</v>
      </c>
      <c r="G7" s="464"/>
      <c r="H7" s="464"/>
      <c r="I7" s="465"/>
      <c r="J7" s="466" t="s">
        <v>8</v>
      </c>
      <c r="K7" s="466"/>
      <c r="L7" s="466"/>
      <c r="M7" s="466"/>
      <c r="N7" s="466"/>
      <c r="O7" s="459"/>
      <c r="P7" s="460"/>
    </row>
    <row r="8" spans="2:19" s="231" customFormat="1" ht="31.5" x14ac:dyDescent="0.25">
      <c r="B8" s="471"/>
      <c r="C8" s="471"/>
      <c r="D8" s="471"/>
      <c r="E8" s="472"/>
      <c r="F8" s="230" t="s">
        <v>9</v>
      </c>
      <c r="G8" s="230" t="s">
        <v>10</v>
      </c>
      <c r="H8" s="230" t="s">
        <v>11</v>
      </c>
      <c r="I8" s="230" t="s">
        <v>12</v>
      </c>
      <c r="J8" s="230" t="s">
        <v>9</v>
      </c>
      <c r="K8" s="230" t="s">
        <v>10</v>
      </c>
      <c r="L8" s="230" t="s">
        <v>11</v>
      </c>
      <c r="M8" s="230" t="s">
        <v>13</v>
      </c>
      <c r="N8" s="230" t="s">
        <v>14</v>
      </c>
      <c r="O8" s="461"/>
      <c r="P8" s="462"/>
    </row>
    <row r="9" spans="2:19" x14ac:dyDescent="0.25">
      <c r="B9" s="467" t="s">
        <v>416</v>
      </c>
      <c r="C9" s="468"/>
      <c r="D9" s="469"/>
      <c r="E9" s="154">
        <v>21953385.59</v>
      </c>
      <c r="F9" s="155"/>
      <c r="G9" s="155"/>
      <c r="H9" s="155"/>
      <c r="I9" s="155"/>
      <c r="J9" s="214"/>
      <c r="K9" s="155"/>
      <c r="L9" s="155"/>
      <c r="M9" s="155"/>
      <c r="N9" s="155"/>
      <c r="O9" s="155"/>
      <c r="P9" s="155"/>
    </row>
    <row r="10" spans="2:19" x14ac:dyDescent="0.25">
      <c r="B10" s="262"/>
      <c r="C10" s="263"/>
      <c r="D10" s="264"/>
      <c r="E10" s="154"/>
      <c r="F10" s="155"/>
      <c r="G10" s="155"/>
      <c r="H10" s="155"/>
      <c r="I10" s="155"/>
      <c r="J10" s="157"/>
      <c r="K10" s="154"/>
      <c r="L10" s="154"/>
      <c r="M10" s="154"/>
      <c r="N10" s="154"/>
      <c r="O10" s="154"/>
      <c r="P10" s="154"/>
      <c r="Q10" s="159"/>
      <c r="R10" s="159"/>
      <c r="S10" s="159"/>
    </row>
    <row r="11" spans="2:19" x14ac:dyDescent="0.25">
      <c r="B11" s="262"/>
      <c r="C11" s="263" t="s">
        <v>16</v>
      </c>
      <c r="D11" s="264"/>
      <c r="E11" s="154">
        <f>SUM(E12:E16)</f>
        <v>0</v>
      </c>
      <c r="F11" s="154"/>
      <c r="G11" s="154">
        <f>SUM(G12:G16)</f>
        <v>0</v>
      </c>
      <c r="H11" s="154">
        <f>SUM(H12:H16)</f>
        <v>0</v>
      </c>
      <c r="I11" s="154">
        <f>SUM(I12:I16)</f>
        <v>0</v>
      </c>
      <c r="J11" s="157"/>
      <c r="K11" s="154"/>
      <c r="L11" s="154"/>
      <c r="M11" s="154">
        <f>SUM(M13:M16)</f>
        <v>0</v>
      </c>
      <c r="N11" s="154">
        <f>SUM(N13:N16)</f>
        <v>0</v>
      </c>
      <c r="O11" s="154"/>
      <c r="P11" s="154"/>
      <c r="Q11" s="159"/>
      <c r="R11" s="159"/>
      <c r="S11" s="159"/>
    </row>
    <row r="12" spans="2:19" s="176" customFormat="1" hidden="1" x14ac:dyDescent="0.25">
      <c r="B12" s="171"/>
      <c r="C12" s="172"/>
      <c r="D12" s="173" t="s">
        <v>17</v>
      </c>
      <c r="E12" s="174"/>
      <c r="F12" s="174"/>
      <c r="G12" s="174"/>
      <c r="H12" s="174"/>
      <c r="I12" s="174"/>
      <c r="J12" s="215"/>
      <c r="K12" s="174"/>
      <c r="L12" s="174"/>
      <c r="M12" s="174"/>
      <c r="N12" s="174"/>
      <c r="O12" s="174"/>
      <c r="P12" s="174"/>
      <c r="Q12" s="175"/>
      <c r="R12" s="175"/>
      <c r="S12" s="175"/>
    </row>
    <row r="13" spans="2:19" ht="24" hidden="1" customHeight="1" x14ac:dyDescent="0.25">
      <c r="B13" s="262"/>
      <c r="C13" s="263"/>
      <c r="D13" s="264" t="s">
        <v>213</v>
      </c>
      <c r="E13" s="154"/>
      <c r="F13" s="154" t="s">
        <v>19</v>
      </c>
      <c r="G13" s="154"/>
      <c r="H13" s="154"/>
      <c r="I13" s="154"/>
      <c r="J13" s="157" t="s">
        <v>214</v>
      </c>
      <c r="K13" s="154"/>
      <c r="L13" s="154"/>
      <c r="M13" s="154"/>
      <c r="N13" s="154"/>
      <c r="O13" s="154"/>
      <c r="P13" s="154"/>
      <c r="Q13" s="159"/>
      <c r="R13" s="159"/>
      <c r="S13" s="159"/>
    </row>
    <row r="14" spans="2:19" ht="24" hidden="1" customHeight="1" x14ac:dyDescent="0.25">
      <c r="B14" s="262"/>
      <c r="C14" s="263"/>
      <c r="D14" s="264" t="s">
        <v>215</v>
      </c>
      <c r="E14" s="154"/>
      <c r="F14" s="154" t="s">
        <v>19</v>
      </c>
      <c r="G14" s="154"/>
      <c r="H14" s="154"/>
      <c r="I14" s="154"/>
      <c r="J14" s="157" t="s">
        <v>214</v>
      </c>
      <c r="K14" s="154"/>
      <c r="L14" s="154"/>
      <c r="M14" s="154"/>
      <c r="N14" s="154"/>
      <c r="O14" s="154"/>
      <c r="P14" s="154"/>
      <c r="Q14" s="159"/>
      <c r="R14" s="159"/>
      <c r="S14" s="159"/>
    </row>
    <row r="15" spans="2:19" s="176" customFormat="1" hidden="1" x14ac:dyDescent="0.25">
      <c r="B15" s="171"/>
      <c r="C15" s="172"/>
      <c r="D15" s="173" t="s">
        <v>180</v>
      </c>
      <c r="E15" s="174"/>
      <c r="F15" s="174"/>
      <c r="G15" s="174"/>
      <c r="H15" s="174"/>
      <c r="I15" s="174"/>
      <c r="J15" s="215"/>
      <c r="K15" s="174"/>
      <c r="L15" s="174"/>
      <c r="M15" s="174"/>
      <c r="N15" s="174"/>
      <c r="O15" s="174"/>
      <c r="P15" s="174"/>
      <c r="Q15" s="175"/>
      <c r="R15" s="175"/>
      <c r="S15" s="175"/>
    </row>
    <row r="16" spans="2:19" hidden="1" x14ac:dyDescent="0.25">
      <c r="B16" s="262"/>
      <c r="C16" s="263"/>
      <c r="D16" s="264" t="s">
        <v>216</v>
      </c>
      <c r="E16" s="154"/>
      <c r="F16" s="154" t="s">
        <v>19</v>
      </c>
      <c r="G16" s="154"/>
      <c r="H16" s="154"/>
      <c r="I16" s="154"/>
      <c r="J16" s="157" t="s">
        <v>214</v>
      </c>
      <c r="K16" s="154"/>
      <c r="L16" s="154"/>
      <c r="M16" s="154"/>
      <c r="N16" s="154"/>
      <c r="O16" s="154"/>
      <c r="P16" s="154"/>
      <c r="Q16" s="159"/>
      <c r="R16" s="159"/>
      <c r="S16" s="159"/>
    </row>
    <row r="17" spans="2:19" ht="27.75" customHeight="1" x14ac:dyDescent="0.25">
      <c r="B17" s="262"/>
      <c r="C17" s="266" t="s">
        <v>23</v>
      </c>
      <c r="D17" s="264"/>
      <c r="E17" s="154">
        <f>SUM(E18:E33)</f>
        <v>-900161.97</v>
      </c>
      <c r="F17" s="154"/>
      <c r="G17" s="154">
        <f>SUM(G19:G36)</f>
        <v>995484.5</v>
      </c>
      <c r="H17" s="154">
        <f>SUM(H19:H36)</f>
        <v>1409209.62</v>
      </c>
      <c r="I17" s="154">
        <f>SUM(I19:I40)</f>
        <v>0</v>
      </c>
      <c r="J17" s="157"/>
      <c r="K17" s="154">
        <f>SUM(K19:K31)</f>
        <v>995484.5</v>
      </c>
      <c r="L17" s="154">
        <f>SUM(L19:L31)</f>
        <v>1903749.65</v>
      </c>
      <c r="M17" s="166">
        <f>SUM(M19:M46)</f>
        <v>-908265.15</v>
      </c>
      <c r="N17" s="166">
        <f>SUM(N19:N46)</f>
        <v>-8103.18</v>
      </c>
      <c r="O17" s="154"/>
      <c r="P17" s="154"/>
      <c r="Q17" s="159"/>
      <c r="R17" s="159"/>
      <c r="S17" s="159"/>
    </row>
    <row r="18" spans="2:19" ht="32.25" customHeight="1" x14ac:dyDescent="0.25">
      <c r="B18" s="262"/>
      <c r="C18" s="266" t="s">
        <v>243</v>
      </c>
      <c r="D18" s="177" t="s">
        <v>71</v>
      </c>
      <c r="E18" s="154"/>
      <c r="F18" s="154"/>
      <c r="G18" s="154"/>
      <c r="H18" s="154"/>
      <c r="I18" s="154"/>
      <c r="J18" s="157"/>
      <c r="K18" s="154"/>
      <c r="L18" s="154"/>
      <c r="M18" s="154"/>
      <c r="N18" s="154"/>
      <c r="O18" s="154"/>
      <c r="P18" s="154"/>
      <c r="Q18" s="159"/>
      <c r="R18" s="159"/>
      <c r="S18" s="159"/>
    </row>
    <row r="19" spans="2:19" ht="32.25" customHeight="1" x14ac:dyDescent="0.25">
      <c r="B19" s="402"/>
      <c r="C19" s="403"/>
      <c r="D19" s="404" t="s">
        <v>217</v>
      </c>
      <c r="E19" s="154">
        <v>-995484.5</v>
      </c>
      <c r="F19" s="157" t="s">
        <v>419</v>
      </c>
      <c r="G19" s="154"/>
      <c r="H19" s="154">
        <v>1409209.62</v>
      </c>
      <c r="I19" s="154">
        <f>E19</f>
        <v>-995484.5</v>
      </c>
      <c r="J19" s="216" t="s">
        <v>418</v>
      </c>
      <c r="K19" s="154">
        <v>995484.5</v>
      </c>
      <c r="L19" s="154"/>
      <c r="M19" s="154">
        <v>-995484.5</v>
      </c>
      <c r="N19" s="154"/>
      <c r="O19" s="154"/>
      <c r="P19" s="154"/>
      <c r="Q19" s="159"/>
      <c r="R19" s="159"/>
      <c r="S19" s="159"/>
    </row>
    <row r="20" spans="2:19" ht="32.25" customHeight="1" x14ac:dyDescent="0.25">
      <c r="B20" s="402"/>
      <c r="C20" s="403"/>
      <c r="D20" s="404"/>
      <c r="E20" s="154"/>
      <c r="F20" s="157"/>
      <c r="G20" s="154"/>
      <c r="H20" s="154"/>
      <c r="I20" s="154"/>
      <c r="J20" s="216"/>
      <c r="K20" s="154"/>
      <c r="L20" s="154"/>
      <c r="M20" s="154"/>
      <c r="N20" s="154"/>
      <c r="O20" s="154"/>
      <c r="P20" s="154"/>
      <c r="Q20" s="159"/>
      <c r="R20" s="159"/>
      <c r="S20" s="159"/>
    </row>
    <row r="21" spans="2:19" s="176" customFormat="1" ht="32.25" customHeight="1" x14ac:dyDescent="0.25">
      <c r="B21" s="171"/>
      <c r="C21" s="172"/>
      <c r="D21" s="177" t="s">
        <v>24</v>
      </c>
      <c r="E21" s="174"/>
      <c r="F21" s="174"/>
      <c r="G21" s="174"/>
      <c r="H21" s="174"/>
      <c r="I21" s="174"/>
      <c r="J21" s="157"/>
      <c r="K21" s="174"/>
      <c r="L21" s="174"/>
      <c r="M21" s="154"/>
      <c r="N21" s="174"/>
      <c r="O21" s="174"/>
      <c r="P21" s="174"/>
      <c r="Q21" s="175"/>
      <c r="R21" s="175"/>
      <c r="S21" s="175"/>
    </row>
    <row r="22" spans="2:19" ht="42.75" customHeight="1" x14ac:dyDescent="0.25">
      <c r="B22" s="392"/>
      <c r="C22" s="393"/>
      <c r="D22" s="394" t="s">
        <v>418</v>
      </c>
      <c r="E22" s="154">
        <v>995484.5</v>
      </c>
      <c r="F22" s="394" t="s">
        <v>418</v>
      </c>
      <c r="G22" s="154">
        <f>E22</f>
        <v>995484.5</v>
      </c>
      <c r="H22" s="154"/>
      <c r="I22" s="154">
        <f>E22</f>
        <v>995484.5</v>
      </c>
      <c r="J22" s="157" t="s">
        <v>419</v>
      </c>
      <c r="K22" s="154"/>
      <c r="L22" s="154">
        <f>G22</f>
        <v>995484.5</v>
      </c>
      <c r="M22" s="154">
        <f>L22</f>
        <v>995484.5</v>
      </c>
      <c r="N22" s="154"/>
      <c r="O22" s="154"/>
      <c r="P22" s="154"/>
      <c r="Q22" s="159"/>
      <c r="R22" s="159"/>
      <c r="S22" s="159"/>
    </row>
    <row r="23" spans="2:19" ht="32.25" customHeight="1" x14ac:dyDescent="0.25">
      <c r="B23" s="262"/>
      <c r="C23" s="263"/>
      <c r="D23" s="264" t="s">
        <v>256</v>
      </c>
      <c r="E23" s="154">
        <v>-908265.15</v>
      </c>
      <c r="F23" s="283" t="s">
        <v>256</v>
      </c>
      <c r="G23" s="154"/>
      <c r="H23" s="154"/>
      <c r="I23" s="154">
        <f>G23</f>
        <v>0</v>
      </c>
      <c r="J23" s="117" t="s">
        <v>36</v>
      </c>
      <c r="K23" s="154"/>
      <c r="L23" s="154">
        <f>E23*-1</f>
        <v>908265.15</v>
      </c>
      <c r="M23" s="154">
        <v>-908265.15</v>
      </c>
      <c r="N23" s="154"/>
      <c r="O23" s="154">
        <v>-908265.15</v>
      </c>
      <c r="P23" s="154"/>
      <c r="Q23" s="159"/>
      <c r="R23" s="159" t="s">
        <v>221</v>
      </c>
      <c r="S23" s="159"/>
    </row>
    <row r="24" spans="2:19" ht="30.75" customHeight="1" x14ac:dyDescent="0.25">
      <c r="B24" s="262"/>
      <c r="C24" s="263"/>
      <c r="D24" s="177" t="s">
        <v>71</v>
      </c>
      <c r="E24" s="154"/>
      <c r="F24" s="264"/>
      <c r="G24" s="154"/>
      <c r="H24" s="154"/>
      <c r="I24" s="154"/>
      <c r="J24" s="157"/>
      <c r="K24" s="154"/>
      <c r="L24" s="154"/>
      <c r="M24" s="154"/>
      <c r="N24" s="154"/>
      <c r="O24" s="154"/>
      <c r="P24" s="154"/>
      <c r="Q24" s="159"/>
      <c r="R24" s="159"/>
      <c r="S24" s="159"/>
    </row>
    <row r="25" spans="2:19" ht="15.75" hidden="1" customHeight="1" x14ac:dyDescent="0.25">
      <c r="B25" s="262"/>
      <c r="C25" s="263"/>
      <c r="D25" s="264" t="s">
        <v>53</v>
      </c>
      <c r="E25" s="154"/>
      <c r="F25" s="178"/>
      <c r="G25" s="156"/>
      <c r="H25" s="154"/>
      <c r="I25" s="154"/>
      <c r="J25" s="157" t="s">
        <v>273</v>
      </c>
      <c r="K25" s="166"/>
      <c r="L25" s="154"/>
      <c r="M25" s="154"/>
      <c r="N25" s="154">
        <f>K25*-1</f>
        <v>0</v>
      </c>
      <c r="O25" s="154"/>
      <c r="P25" s="154"/>
      <c r="Q25" s="159"/>
      <c r="R25" s="159"/>
      <c r="S25" s="159"/>
    </row>
    <row r="26" spans="2:19" ht="32.25" hidden="1" customHeight="1" x14ac:dyDescent="0.25">
      <c r="B26" s="262"/>
      <c r="C26" s="263"/>
      <c r="D26" s="179" t="s">
        <v>47</v>
      </c>
      <c r="E26" s="166"/>
      <c r="F26" s="249"/>
      <c r="G26" s="180"/>
      <c r="H26" s="154"/>
      <c r="I26" s="154"/>
      <c r="J26" s="157" t="s">
        <v>47</v>
      </c>
      <c r="K26" s="154"/>
      <c r="L26" s="154"/>
      <c r="M26" s="154"/>
      <c r="N26" s="154"/>
      <c r="O26" s="154"/>
      <c r="P26" s="154"/>
      <c r="Q26" s="159"/>
      <c r="R26" s="159"/>
      <c r="S26" s="159"/>
    </row>
    <row r="27" spans="2:19" ht="31.5" hidden="1" customHeight="1" x14ac:dyDescent="0.25">
      <c r="B27" s="262"/>
      <c r="C27" s="263"/>
      <c r="D27" s="264" t="s">
        <v>294</v>
      </c>
      <c r="E27" s="166"/>
      <c r="F27" s="214"/>
      <c r="G27" s="156"/>
      <c r="H27" s="154"/>
      <c r="I27" s="154"/>
      <c r="J27" s="157" t="s">
        <v>294</v>
      </c>
      <c r="K27" s="154"/>
      <c r="L27" s="154"/>
      <c r="M27" s="154"/>
      <c r="N27" s="154"/>
      <c r="O27" s="154"/>
      <c r="P27" s="154"/>
      <c r="Q27" s="159"/>
      <c r="R27" s="159"/>
      <c r="S27" s="159"/>
    </row>
    <row r="28" spans="2:19" s="176" customFormat="1" ht="31.5" hidden="1" customHeight="1" x14ac:dyDescent="0.25">
      <c r="B28" s="171"/>
      <c r="C28" s="172"/>
      <c r="D28" s="264" t="s">
        <v>263</v>
      </c>
      <c r="E28" s="166"/>
      <c r="F28" s="215"/>
      <c r="G28" s="181"/>
      <c r="H28" s="174"/>
      <c r="I28" s="154"/>
      <c r="J28" s="157" t="s">
        <v>263</v>
      </c>
      <c r="K28" s="154"/>
      <c r="L28" s="174"/>
      <c r="M28" s="154"/>
      <c r="N28" s="154"/>
      <c r="O28" s="154"/>
      <c r="P28" s="174"/>
      <c r="Q28" s="175"/>
      <c r="R28" s="175"/>
      <c r="S28" s="175"/>
    </row>
    <row r="29" spans="2:19" ht="15.75" hidden="1" customHeight="1" x14ac:dyDescent="0.25">
      <c r="B29" s="262"/>
      <c r="C29" s="263"/>
      <c r="D29" s="264" t="s">
        <v>32</v>
      </c>
      <c r="E29" s="166"/>
      <c r="F29" s="214"/>
      <c r="G29" s="156"/>
      <c r="H29" s="154"/>
      <c r="I29" s="154"/>
      <c r="J29" s="157" t="s">
        <v>32</v>
      </c>
      <c r="K29" s="154"/>
      <c r="L29" s="154"/>
      <c r="M29" s="154"/>
      <c r="N29" s="154"/>
      <c r="O29" s="154"/>
      <c r="P29" s="154"/>
      <c r="Q29" s="159"/>
      <c r="R29" s="159"/>
      <c r="S29" s="159"/>
    </row>
    <row r="30" spans="2:19" ht="15.75" hidden="1" customHeight="1" x14ac:dyDescent="0.25">
      <c r="B30" s="262"/>
      <c r="C30" s="263"/>
      <c r="D30" s="263" t="s">
        <v>295</v>
      </c>
      <c r="E30" s="166"/>
      <c r="F30" s="214"/>
      <c r="G30" s="156"/>
      <c r="H30" s="154"/>
      <c r="I30" s="154"/>
      <c r="J30" s="157" t="s">
        <v>295</v>
      </c>
      <c r="K30" s="154"/>
      <c r="L30" s="154"/>
      <c r="M30" s="154"/>
      <c r="N30" s="154"/>
      <c r="O30" s="154"/>
      <c r="P30" s="154"/>
      <c r="Q30" s="159"/>
      <c r="R30" s="159"/>
      <c r="S30" s="159"/>
    </row>
    <row r="31" spans="2:19" s="176" customFormat="1" ht="32.25" customHeight="1" x14ac:dyDescent="0.25">
      <c r="B31" s="171"/>
      <c r="C31" s="172"/>
      <c r="D31" s="266" t="s">
        <v>226</v>
      </c>
      <c r="E31" s="174"/>
      <c r="F31" s="174"/>
      <c r="G31" s="174"/>
      <c r="H31" s="174"/>
      <c r="I31" s="174"/>
      <c r="J31" s="215"/>
      <c r="K31" s="174"/>
      <c r="L31" s="174"/>
      <c r="M31" s="174"/>
      <c r="N31" s="174"/>
      <c r="O31" s="174"/>
      <c r="P31" s="174"/>
      <c r="Q31" s="175"/>
      <c r="R31" s="175"/>
      <c r="S31" s="175"/>
    </row>
    <row r="32" spans="2:19" x14ac:dyDescent="0.25">
      <c r="B32" s="262"/>
      <c r="C32" s="263"/>
      <c r="D32" s="264" t="s">
        <v>297</v>
      </c>
      <c r="E32" s="154"/>
      <c r="F32" s="154"/>
      <c r="G32" s="154"/>
      <c r="H32" s="154"/>
      <c r="I32" s="154">
        <f>H32</f>
        <v>0</v>
      </c>
      <c r="J32" s="157"/>
      <c r="K32" s="154"/>
      <c r="L32" s="154"/>
      <c r="M32" s="154"/>
      <c r="N32" s="154"/>
      <c r="O32" s="154"/>
      <c r="P32" s="154"/>
      <c r="Q32" s="159"/>
      <c r="R32" s="159"/>
      <c r="S32" s="159"/>
    </row>
    <row r="33" spans="2:19" ht="32.25" customHeight="1" x14ac:dyDescent="0.25">
      <c r="B33" s="262"/>
      <c r="C33" s="263"/>
      <c r="D33" s="264" t="s">
        <v>229</v>
      </c>
      <c r="E33" s="154">
        <v>8103.18</v>
      </c>
      <c r="F33" s="154"/>
      <c r="G33" s="154"/>
      <c r="H33" s="154"/>
      <c r="I33" s="154">
        <f>G33*-1</f>
        <v>0</v>
      </c>
      <c r="J33" s="157" t="s">
        <v>228</v>
      </c>
      <c r="K33" s="154">
        <f>E33</f>
        <v>8103.18</v>
      </c>
      <c r="L33" s="154"/>
      <c r="M33" s="166"/>
      <c r="N33" s="154">
        <f>K33*-1</f>
        <v>-8103.18</v>
      </c>
      <c r="O33" s="154">
        <f>E33</f>
        <v>8103.18</v>
      </c>
      <c r="P33" s="154"/>
      <c r="Q33" s="159"/>
      <c r="R33" s="159"/>
      <c r="S33" s="159"/>
    </row>
    <row r="34" spans="2:19" hidden="1" x14ac:dyDescent="0.25">
      <c r="B34" s="262"/>
      <c r="C34" s="263"/>
      <c r="D34" s="264" t="s">
        <v>96</v>
      </c>
      <c r="E34" s="154"/>
      <c r="F34" s="154"/>
      <c r="G34" s="154"/>
      <c r="H34" s="154"/>
      <c r="I34" s="154">
        <f>G34*-1</f>
        <v>0</v>
      </c>
      <c r="J34" s="157" t="s">
        <v>97</v>
      </c>
      <c r="K34" s="154"/>
      <c r="L34" s="154"/>
      <c r="M34" s="154"/>
      <c r="N34" s="154">
        <f>L34</f>
        <v>0</v>
      </c>
      <c r="O34" s="154"/>
      <c r="P34" s="154"/>
      <c r="Q34" s="159"/>
      <c r="R34" s="159"/>
      <c r="S34" s="159"/>
    </row>
    <row r="35" spans="2:19" hidden="1" x14ac:dyDescent="0.25">
      <c r="B35" s="262"/>
      <c r="C35" s="263"/>
      <c r="D35" s="264" t="s">
        <v>230</v>
      </c>
      <c r="E35" s="154"/>
      <c r="F35" s="154"/>
      <c r="G35" s="154"/>
      <c r="H35" s="154"/>
      <c r="I35" s="154"/>
      <c r="J35" s="157" t="s">
        <v>91</v>
      </c>
      <c r="K35" s="154"/>
      <c r="L35" s="154"/>
      <c r="M35" s="154"/>
      <c r="N35" s="154"/>
      <c r="O35" s="154"/>
      <c r="P35" s="154"/>
      <c r="Q35" s="159"/>
      <c r="R35" s="159"/>
      <c r="S35" s="159"/>
    </row>
    <row r="36" spans="2:19" hidden="1" x14ac:dyDescent="0.25">
      <c r="B36" s="262"/>
      <c r="C36" s="263"/>
      <c r="D36" s="266" t="s">
        <v>247</v>
      </c>
      <c r="E36" s="154"/>
      <c r="F36" s="154"/>
      <c r="G36" s="154"/>
      <c r="H36" s="154"/>
      <c r="I36" s="154"/>
      <c r="J36" s="157"/>
      <c r="K36" s="154"/>
      <c r="L36" s="154"/>
      <c r="M36" s="154"/>
      <c r="N36" s="154"/>
      <c r="O36" s="154"/>
      <c r="P36" s="154"/>
      <c r="Q36" s="159"/>
      <c r="R36" s="159"/>
      <c r="S36" s="159"/>
    </row>
    <row r="37" spans="2:19" hidden="1" x14ac:dyDescent="0.25">
      <c r="B37" s="262"/>
      <c r="C37" s="263"/>
      <c r="D37" s="264" t="s">
        <v>248</v>
      </c>
      <c r="E37" s="154"/>
      <c r="F37" s="154"/>
      <c r="G37" s="154"/>
      <c r="H37" s="154"/>
      <c r="I37" s="154"/>
      <c r="J37" s="157" t="s">
        <v>236</v>
      </c>
      <c r="K37" s="166">
        <f>E37</f>
        <v>0</v>
      </c>
      <c r="L37" s="154"/>
      <c r="M37" s="154"/>
      <c r="N37" s="154">
        <f>-K37</f>
        <v>0</v>
      </c>
      <c r="O37" s="154">
        <f>E37</f>
        <v>0</v>
      </c>
      <c r="P37" s="154"/>
      <c r="Q37" s="159"/>
      <c r="R37" s="159"/>
      <c r="S37" s="159"/>
    </row>
    <row r="38" spans="2:19" ht="31.5" hidden="1" x14ac:dyDescent="0.25">
      <c r="B38" s="262"/>
      <c r="C38" s="263"/>
      <c r="D38" s="264" t="s">
        <v>254</v>
      </c>
      <c r="E38" s="154"/>
      <c r="F38" s="154"/>
      <c r="G38" s="154"/>
      <c r="H38" s="154"/>
      <c r="I38" s="154"/>
      <c r="J38" s="157" t="s">
        <v>219</v>
      </c>
      <c r="K38" s="154"/>
      <c r="L38" s="166"/>
      <c r="M38" s="154"/>
      <c r="N38" s="154">
        <f>L38</f>
        <v>0</v>
      </c>
      <c r="O38" s="154">
        <f>E38</f>
        <v>0</v>
      </c>
      <c r="P38" s="154"/>
      <c r="Q38" s="159"/>
      <c r="R38" s="159"/>
      <c r="S38" s="159"/>
    </row>
    <row r="39" spans="2:19" ht="24.75" hidden="1" customHeight="1" x14ac:dyDescent="0.25">
      <c r="B39" s="262"/>
      <c r="C39" s="263"/>
      <c r="D39" s="264" t="s">
        <v>274</v>
      </c>
      <c r="E39" s="154"/>
      <c r="F39" s="154"/>
      <c r="G39" s="154"/>
      <c r="H39" s="154"/>
      <c r="I39" s="154"/>
      <c r="J39" s="157" t="s">
        <v>236</v>
      </c>
      <c r="K39" s="166"/>
      <c r="L39" s="154"/>
      <c r="M39" s="154"/>
      <c r="N39" s="154">
        <f>-K39</f>
        <v>0</v>
      </c>
      <c r="O39" s="154">
        <f>E39</f>
        <v>0</v>
      </c>
      <c r="P39" s="154"/>
      <c r="Q39" s="159"/>
      <c r="R39" s="159"/>
      <c r="S39" s="159"/>
    </row>
    <row r="40" spans="2:19" ht="25.5" hidden="1" customHeight="1" x14ac:dyDescent="0.25">
      <c r="B40" s="262"/>
      <c r="C40" s="263"/>
      <c r="D40" s="264" t="s">
        <v>274</v>
      </c>
      <c r="E40" s="154"/>
      <c r="F40" s="154"/>
      <c r="G40" s="154"/>
      <c r="H40" s="154"/>
      <c r="I40" s="154"/>
      <c r="J40" s="157" t="s">
        <v>273</v>
      </c>
      <c r="K40" s="154"/>
      <c r="L40" s="166"/>
      <c r="M40" s="154"/>
      <c r="N40" s="154">
        <f>L40</f>
        <v>0</v>
      </c>
      <c r="O40" s="154">
        <f>E40</f>
        <v>0</v>
      </c>
      <c r="P40" s="154"/>
      <c r="Q40" s="159"/>
      <c r="R40" s="159"/>
      <c r="S40" s="159"/>
    </row>
    <row r="41" spans="2:19" ht="25.5" hidden="1" customHeight="1" x14ac:dyDescent="0.25">
      <c r="B41" s="262"/>
      <c r="C41" s="263"/>
      <c r="D41" s="264" t="s">
        <v>288</v>
      </c>
      <c r="E41" s="154"/>
      <c r="F41" s="154"/>
      <c r="G41" s="154"/>
      <c r="H41" s="154"/>
      <c r="I41" s="154"/>
      <c r="J41" s="157" t="s">
        <v>53</v>
      </c>
      <c r="K41" s="154"/>
      <c r="L41" s="166"/>
      <c r="M41" s="154"/>
      <c r="N41" s="154">
        <f>L41</f>
        <v>0</v>
      </c>
      <c r="O41" s="154">
        <f>E41</f>
        <v>0</v>
      </c>
      <c r="P41" s="154"/>
      <c r="Q41" s="159"/>
      <c r="R41" s="159"/>
      <c r="S41" s="159"/>
    </row>
    <row r="42" spans="2:19" ht="25.5" hidden="1" customHeight="1" x14ac:dyDescent="0.25">
      <c r="B42" s="262"/>
      <c r="C42" s="263"/>
      <c r="D42" s="264" t="s">
        <v>314</v>
      </c>
      <c r="E42" s="154"/>
      <c r="F42" s="154"/>
      <c r="G42" s="154"/>
      <c r="H42" s="154"/>
      <c r="I42" s="154"/>
      <c r="J42" s="157" t="s">
        <v>315</v>
      </c>
      <c r="K42" s="154"/>
      <c r="L42" s="166"/>
      <c r="M42" s="154"/>
      <c r="N42" s="154">
        <f>K42*-1</f>
        <v>0</v>
      </c>
      <c r="O42" s="154">
        <f t="shared" ref="O42:O46" si="0">E42</f>
        <v>0</v>
      </c>
      <c r="P42" s="154"/>
      <c r="Q42" s="159"/>
      <c r="R42" s="159"/>
      <c r="S42" s="159"/>
    </row>
    <row r="43" spans="2:19" ht="49.5" hidden="1" customHeight="1" x14ac:dyDescent="0.25">
      <c r="B43" s="262"/>
      <c r="C43" s="263"/>
      <c r="D43" s="182" t="s">
        <v>332</v>
      </c>
      <c r="E43" s="154"/>
      <c r="F43" s="154"/>
      <c r="G43" s="154"/>
      <c r="H43" s="154"/>
      <c r="I43" s="264"/>
      <c r="J43" s="264" t="s">
        <v>174</v>
      </c>
      <c r="K43" s="154"/>
      <c r="L43" s="166"/>
      <c r="M43" s="154"/>
      <c r="N43" s="154">
        <f>-E43</f>
        <v>0</v>
      </c>
      <c r="O43" s="154">
        <f t="shared" si="0"/>
        <v>0</v>
      </c>
      <c r="P43" s="154"/>
      <c r="Q43" s="159"/>
      <c r="R43" s="159"/>
      <c r="S43" s="159"/>
    </row>
    <row r="44" spans="2:19" ht="49.5" hidden="1" customHeight="1" x14ac:dyDescent="0.25">
      <c r="B44" s="262"/>
      <c r="C44" s="263"/>
      <c r="D44" s="182"/>
      <c r="E44" s="154"/>
      <c r="F44" s="154"/>
      <c r="G44" s="154"/>
      <c r="H44" s="154"/>
      <c r="I44" s="264"/>
      <c r="J44" s="182"/>
      <c r="K44" s="154"/>
      <c r="L44" s="154"/>
      <c r="M44" s="154"/>
      <c r="N44" s="154"/>
      <c r="O44" s="154"/>
      <c r="P44" s="154"/>
      <c r="Q44" s="159"/>
      <c r="R44" s="159"/>
      <c r="S44" s="159"/>
    </row>
    <row r="45" spans="2:19" ht="49.5" hidden="1" customHeight="1" x14ac:dyDescent="0.25">
      <c r="B45" s="262"/>
      <c r="C45" s="263"/>
      <c r="D45" s="182" t="s">
        <v>338</v>
      </c>
      <c r="E45" s="154"/>
      <c r="F45" s="154"/>
      <c r="G45" s="154"/>
      <c r="H45" s="154"/>
      <c r="I45" s="264"/>
      <c r="J45" s="182" t="s">
        <v>337</v>
      </c>
      <c r="K45" s="154"/>
      <c r="L45" s="154"/>
      <c r="M45" s="154"/>
      <c r="N45" s="154"/>
      <c r="O45" s="154">
        <f t="shared" si="0"/>
        <v>0</v>
      </c>
      <c r="P45" s="154"/>
      <c r="Q45" s="159"/>
      <c r="R45" s="159"/>
      <c r="S45" s="159"/>
    </row>
    <row r="46" spans="2:19" ht="49.5" hidden="1" customHeight="1" x14ac:dyDescent="0.25">
      <c r="B46" s="262"/>
      <c r="C46" s="263"/>
      <c r="D46" s="182" t="s">
        <v>339</v>
      </c>
      <c r="E46" s="154"/>
      <c r="F46" s="154"/>
      <c r="G46" s="154"/>
      <c r="H46" s="154"/>
      <c r="I46" s="264"/>
      <c r="J46" s="182" t="s">
        <v>340</v>
      </c>
      <c r="K46" s="154"/>
      <c r="L46" s="154"/>
      <c r="M46" s="154"/>
      <c r="N46" s="154"/>
      <c r="O46" s="154">
        <f t="shared" si="0"/>
        <v>0</v>
      </c>
      <c r="P46" s="154"/>
      <c r="Q46" s="159"/>
      <c r="R46" s="159"/>
      <c r="S46" s="159"/>
    </row>
    <row r="47" spans="2:19" s="168" customFormat="1" ht="32.25" customHeight="1" x14ac:dyDescent="0.25">
      <c r="B47" s="129" t="s">
        <v>414</v>
      </c>
      <c r="C47" s="266"/>
      <c r="D47" s="267"/>
      <c r="E47" s="166">
        <f>E9+E11+E17</f>
        <v>21053223.620000001</v>
      </c>
      <c r="F47" s="166">
        <f>SUM(F9:F32)</f>
        <v>0</v>
      </c>
      <c r="G47" s="166"/>
      <c r="H47" s="166"/>
      <c r="I47" s="166">
        <f>SUM(I17+I11)</f>
        <v>0</v>
      </c>
      <c r="J47" s="265">
        <f>SUM(J9:J32)</f>
        <v>0</v>
      </c>
      <c r="K47" s="166"/>
      <c r="L47" s="166"/>
      <c r="M47" s="166">
        <f>M17+M11</f>
        <v>-908265.15</v>
      </c>
      <c r="N47" s="166">
        <f>N17+N11</f>
        <v>-8103.18</v>
      </c>
      <c r="O47" s="166">
        <f>SUM(O9:O46)</f>
        <v>-900161.97</v>
      </c>
      <c r="P47" s="166">
        <f>SUM(P9:P32)</f>
        <v>0</v>
      </c>
      <c r="Q47" s="167"/>
      <c r="R47" s="167"/>
      <c r="S47" s="167"/>
    </row>
    <row r="48" spans="2:19" x14ac:dyDescent="0.25">
      <c r="B48" s="176"/>
      <c r="E48" s="159">
        <f>E47-[36]FC1SGE!$J$15</f>
        <v>0</v>
      </c>
      <c r="F48" s="183"/>
      <c r="I48" s="170">
        <f>G47-H47</f>
        <v>0</v>
      </c>
      <c r="J48" s="217"/>
      <c r="K48" s="159"/>
      <c r="L48" s="159"/>
      <c r="M48" s="159"/>
      <c r="N48" s="159"/>
      <c r="O48" s="159"/>
      <c r="P48" s="159"/>
      <c r="Q48" s="159"/>
      <c r="R48" s="159"/>
      <c r="S48" s="159"/>
    </row>
    <row r="49" spans="2:20" ht="24" customHeight="1" x14ac:dyDescent="0.25">
      <c r="B49" s="176"/>
      <c r="D49" s="158" t="s">
        <v>116</v>
      </c>
      <c r="G49" s="236"/>
      <c r="I49" s="170"/>
      <c r="J49" s="151" t="s">
        <v>118</v>
      </c>
      <c r="K49" s="159"/>
      <c r="L49" s="159"/>
      <c r="M49" s="159"/>
      <c r="N49" s="170"/>
      <c r="O49" s="158" t="s">
        <v>119</v>
      </c>
      <c r="P49" s="159"/>
      <c r="Q49" s="159"/>
      <c r="R49" s="159"/>
      <c r="S49" s="159"/>
    </row>
    <row r="50" spans="2:20" ht="24" customHeight="1" x14ac:dyDescent="0.25">
      <c r="D50" s="151" t="s">
        <v>120</v>
      </c>
      <c r="E50" s="159">
        <f>E47</f>
        <v>21053223.620000001</v>
      </c>
      <c r="I50" s="170"/>
      <c r="J50" s="217"/>
      <c r="K50" s="159" t="s">
        <v>121</v>
      </c>
      <c r="M50" s="159">
        <f>M47</f>
        <v>-908265.15</v>
      </c>
      <c r="N50" s="159"/>
      <c r="O50" s="159"/>
      <c r="P50" s="159"/>
      <c r="Q50" s="159"/>
      <c r="R50" s="159"/>
      <c r="S50" s="159"/>
    </row>
    <row r="51" spans="2:20" ht="24" customHeight="1" x14ac:dyDescent="0.25">
      <c r="D51" s="151" t="s">
        <v>122</v>
      </c>
      <c r="E51" s="184">
        <f>E9</f>
        <v>21953385.59</v>
      </c>
      <c r="J51" s="217"/>
      <c r="K51" s="159" t="s">
        <v>123</v>
      </c>
      <c r="M51" s="184">
        <f>N47</f>
        <v>-8103.18</v>
      </c>
      <c r="N51" s="159"/>
      <c r="O51" s="159"/>
      <c r="P51" s="159"/>
      <c r="Q51" s="159"/>
      <c r="R51" s="159"/>
      <c r="S51" s="159"/>
    </row>
    <row r="52" spans="2:20" ht="24" customHeight="1" x14ac:dyDescent="0.25">
      <c r="D52" s="151" t="s">
        <v>124</v>
      </c>
      <c r="E52" s="167">
        <f>+E50-E51</f>
        <v>-900161.96999999881</v>
      </c>
      <c r="I52" s="169"/>
      <c r="J52" s="217"/>
      <c r="K52" s="159" t="s">
        <v>126</v>
      </c>
      <c r="M52" s="167">
        <f>M50-M51</f>
        <v>-900161.97</v>
      </c>
      <c r="N52" s="159"/>
      <c r="O52" s="159" t="s">
        <v>126</v>
      </c>
      <c r="P52" s="167">
        <f>O47</f>
        <v>-900161.97</v>
      </c>
      <c r="Q52" s="159"/>
      <c r="R52" s="159"/>
      <c r="S52" s="159"/>
    </row>
    <row r="53" spans="2:20" x14ac:dyDescent="0.25">
      <c r="G53" s="159"/>
      <c r="I53" s="170"/>
      <c r="J53" s="217"/>
      <c r="K53" s="159" t="s">
        <v>127</v>
      </c>
      <c r="L53" s="159"/>
      <c r="M53" s="159"/>
      <c r="N53" s="167">
        <f>M50-M51</f>
        <v>-900161.97</v>
      </c>
      <c r="O53" s="159"/>
      <c r="P53" s="159">
        <f>P52-E52</f>
        <v>-1.1641532182693481E-9</v>
      </c>
      <c r="Q53" s="159"/>
      <c r="R53" s="159"/>
      <c r="S53" s="159"/>
    </row>
    <row r="54" spans="2:20" x14ac:dyDescent="0.25">
      <c r="D54" s="170"/>
      <c r="E54" s="185"/>
      <c r="G54" s="159"/>
      <c r="J54" s="217"/>
      <c r="K54" s="159"/>
      <c r="L54" s="159"/>
      <c r="M54" s="159"/>
      <c r="N54" s="159">
        <f>E52-N53</f>
        <v>1.1641532182693481E-9</v>
      </c>
      <c r="O54" s="159"/>
      <c r="P54" s="186"/>
      <c r="Q54" s="186"/>
      <c r="R54" s="186" t="s">
        <v>128</v>
      </c>
      <c r="S54" s="186" t="s">
        <v>129</v>
      </c>
      <c r="T54" s="187" t="s">
        <v>231</v>
      </c>
    </row>
    <row r="55" spans="2:20" x14ac:dyDescent="0.25">
      <c r="E55" s="188"/>
      <c r="G55" s="159"/>
      <c r="J55" s="217"/>
      <c r="K55" s="159"/>
      <c r="L55" s="159"/>
      <c r="M55" s="159"/>
      <c r="N55" s="159"/>
      <c r="O55" s="159"/>
      <c r="P55" s="186" t="s">
        <v>232</v>
      </c>
      <c r="Q55" s="186">
        <f>-4074405.47</f>
        <v>-4074405.47</v>
      </c>
      <c r="R55" s="187"/>
      <c r="S55" s="186"/>
      <c r="T55" s="187"/>
    </row>
    <row r="56" spans="2:20" x14ac:dyDescent="0.25">
      <c r="D56" s="158" t="s">
        <v>130</v>
      </c>
      <c r="G56" s="169"/>
      <c r="J56" s="217"/>
      <c r="K56" s="159" t="s">
        <v>131</v>
      </c>
      <c r="L56" s="159"/>
      <c r="M56" s="159"/>
      <c r="N56" s="159"/>
      <c r="O56" s="159"/>
      <c r="P56" s="186" t="s">
        <v>201</v>
      </c>
      <c r="Q56" s="186">
        <f>22029704.73-16100096.25</f>
        <v>5929608.4800000004</v>
      </c>
      <c r="R56" s="186">
        <v>-16100096.25</v>
      </c>
      <c r="S56" s="186">
        <v>0</v>
      </c>
      <c r="T56" s="186">
        <v>22029704.73</v>
      </c>
    </row>
    <row r="57" spans="2:20" x14ac:dyDescent="0.25">
      <c r="J57" s="217"/>
      <c r="K57" s="159"/>
      <c r="L57" s="159"/>
      <c r="M57" s="159"/>
      <c r="N57" s="159"/>
      <c r="O57" s="159"/>
      <c r="P57" s="186" t="s">
        <v>202</v>
      </c>
      <c r="Q57" s="186">
        <f>SUM(Q55:Q56)</f>
        <v>1855203.0100000002</v>
      </c>
      <c r="R57" s="186">
        <f>Q55+R56</f>
        <v>-20174501.719999999</v>
      </c>
      <c r="S57" s="186">
        <f>R57+S56</f>
        <v>-20174501.719999999</v>
      </c>
      <c r="T57" s="189">
        <f>S57+T56</f>
        <v>1855203.0100000016</v>
      </c>
    </row>
    <row r="58" spans="2:20" x14ac:dyDescent="0.25">
      <c r="J58" s="217"/>
      <c r="K58" s="159"/>
      <c r="L58" s="159"/>
      <c r="M58" s="159"/>
      <c r="N58" s="159"/>
      <c r="O58" s="159"/>
      <c r="P58" s="186"/>
      <c r="Q58" s="186"/>
      <c r="R58" s="186"/>
      <c r="S58" s="186"/>
      <c r="T58" s="187"/>
    </row>
    <row r="59" spans="2:20" ht="16.5" x14ac:dyDescent="0.25">
      <c r="D59" s="193" t="s">
        <v>255</v>
      </c>
      <c r="E59" s="190"/>
      <c r="F59" s="190"/>
      <c r="J59" s="218"/>
      <c r="K59" s="470" t="s">
        <v>132</v>
      </c>
      <c r="L59" s="470"/>
      <c r="M59" s="470"/>
      <c r="N59" s="191"/>
      <c r="O59" s="191"/>
      <c r="P59" s="192"/>
      <c r="Q59" s="186"/>
      <c r="R59" s="186"/>
      <c r="S59" s="186"/>
      <c r="T59" s="187"/>
    </row>
    <row r="60" spans="2:20" x14ac:dyDescent="0.25">
      <c r="D60" s="161" t="s">
        <v>133</v>
      </c>
      <c r="E60" s="161"/>
      <c r="F60" s="161"/>
      <c r="J60" s="217"/>
      <c r="K60" s="161" t="s">
        <v>134</v>
      </c>
      <c r="L60" s="161"/>
      <c r="M60" s="161"/>
      <c r="N60" s="159"/>
      <c r="O60" s="159"/>
      <c r="P60" s="159"/>
      <c r="Q60" s="159"/>
      <c r="R60" s="159"/>
      <c r="S60" s="159"/>
    </row>
    <row r="67" spans="5:10" x14ac:dyDescent="0.25">
      <c r="E67" s="158"/>
      <c r="J67" s="217"/>
    </row>
    <row r="68" spans="5:10" x14ac:dyDescent="0.25">
      <c r="E68" s="158"/>
      <c r="J68" s="217"/>
    </row>
    <row r="69" spans="5:10" x14ac:dyDescent="0.25">
      <c r="E69" s="158"/>
      <c r="J69" s="217"/>
    </row>
  </sheetData>
  <mergeCells count="8">
    <mergeCell ref="O6:P8"/>
    <mergeCell ref="F7:I7"/>
    <mergeCell ref="J7:N7"/>
    <mergeCell ref="B9:D9"/>
    <mergeCell ref="K59:M59"/>
    <mergeCell ref="B6:D8"/>
    <mergeCell ref="E6:E8"/>
    <mergeCell ref="F6:N6"/>
  </mergeCells>
  <pageMargins left="0.59055118110236227" right="0.59055118110236227" top="0.74803149606299213" bottom="0.74803149606299213" header="0.31496062992125984" footer="0.31496062992125984"/>
  <pageSetup paperSize="9" scale="43" fitToHeight="0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0"/>
  <sheetViews>
    <sheetView topLeftCell="B1" zoomScale="85" zoomScaleNormal="85" workbookViewId="0">
      <selection activeCell="E21" sqref="E21"/>
    </sheetView>
  </sheetViews>
  <sheetFormatPr defaultColWidth="9.140625" defaultRowHeight="15.75" x14ac:dyDescent="0.25"/>
  <cols>
    <col min="1" max="1" width="15.5703125" style="158" hidden="1" customWidth="1"/>
    <col min="2" max="2" width="2.28515625" style="158" customWidth="1"/>
    <col min="3" max="3" width="13.5703125" style="158" customWidth="1"/>
    <col min="4" max="4" width="51.140625" style="158" customWidth="1"/>
    <col min="5" max="5" width="22.85546875" style="159" customWidth="1"/>
    <col min="6" max="6" width="24.5703125" style="158" customWidth="1"/>
    <col min="7" max="7" width="18.28515625" style="158" bestFit="1" customWidth="1"/>
    <col min="8" max="8" width="18.85546875" style="158" customWidth="1"/>
    <col min="9" max="9" width="16.28515625" style="158" customWidth="1"/>
    <col min="10" max="10" width="33.28515625" style="151" customWidth="1"/>
    <col min="11" max="11" width="15.5703125" style="158" customWidth="1"/>
    <col min="12" max="13" width="16.42578125" style="158" customWidth="1"/>
    <col min="14" max="14" width="19.42578125" style="158" customWidth="1"/>
    <col min="15" max="15" width="16.28515625" style="158" customWidth="1"/>
    <col min="16" max="16" width="17.140625" style="158" customWidth="1"/>
    <col min="17" max="17" width="13.42578125" style="158" bestFit="1" customWidth="1"/>
    <col min="18" max="19" width="14.42578125" style="158" bestFit="1" customWidth="1"/>
    <col min="20" max="20" width="13.85546875" style="158" bestFit="1" customWidth="1"/>
    <col min="21" max="16384" width="9.140625" style="158"/>
  </cols>
  <sheetData>
    <row r="1" spans="2:19" x14ac:dyDescent="0.25">
      <c r="B1" s="168" t="s">
        <v>210</v>
      </c>
    </row>
    <row r="2" spans="2:19" s="168" customFormat="1" x14ac:dyDescent="0.25">
      <c r="B2" s="168" t="s">
        <v>1</v>
      </c>
      <c r="E2" s="167"/>
      <c r="I2" s="169"/>
      <c r="J2" s="163"/>
    </row>
    <row r="3" spans="2:19" s="168" customFormat="1" x14ac:dyDescent="0.25">
      <c r="B3" s="168" t="s">
        <v>253</v>
      </c>
      <c r="E3" s="167"/>
      <c r="I3" s="169"/>
      <c r="J3" s="163"/>
    </row>
    <row r="4" spans="2:19" x14ac:dyDescent="0.25">
      <c r="B4" s="168" t="s">
        <v>211</v>
      </c>
      <c r="I4" s="170"/>
    </row>
    <row r="5" spans="2:19" x14ac:dyDescent="0.25">
      <c r="I5" s="170"/>
    </row>
    <row r="6" spans="2:19" s="168" customFormat="1" ht="16.5" customHeight="1" x14ac:dyDescent="0.25">
      <c r="B6" s="471" t="s">
        <v>3</v>
      </c>
      <c r="C6" s="471"/>
      <c r="D6" s="471"/>
      <c r="E6" s="472" t="s">
        <v>4</v>
      </c>
      <c r="F6" s="471" t="s">
        <v>5</v>
      </c>
      <c r="G6" s="471"/>
      <c r="H6" s="471"/>
      <c r="I6" s="471"/>
      <c r="J6" s="471"/>
      <c r="K6" s="471"/>
      <c r="L6" s="471"/>
      <c r="M6" s="471"/>
      <c r="N6" s="471"/>
      <c r="O6" s="473" t="s">
        <v>212</v>
      </c>
      <c r="P6" s="474"/>
    </row>
    <row r="7" spans="2:19" s="168" customFormat="1" x14ac:dyDescent="0.25">
      <c r="B7" s="471"/>
      <c r="C7" s="471"/>
      <c r="D7" s="471"/>
      <c r="E7" s="472"/>
      <c r="F7" s="479" t="s">
        <v>7</v>
      </c>
      <c r="G7" s="480"/>
      <c r="H7" s="480"/>
      <c r="I7" s="481"/>
      <c r="J7" s="471" t="s">
        <v>8</v>
      </c>
      <c r="K7" s="471"/>
      <c r="L7" s="471"/>
      <c r="M7" s="471"/>
      <c r="N7" s="471"/>
      <c r="O7" s="475"/>
      <c r="P7" s="476"/>
    </row>
    <row r="8" spans="2:19" s="163" customFormat="1" ht="31.5" x14ac:dyDescent="0.25">
      <c r="B8" s="471"/>
      <c r="C8" s="471"/>
      <c r="D8" s="471"/>
      <c r="E8" s="472"/>
      <c r="F8" s="162" t="s">
        <v>9</v>
      </c>
      <c r="G8" s="162" t="s">
        <v>10</v>
      </c>
      <c r="H8" s="162" t="s">
        <v>11</v>
      </c>
      <c r="I8" s="162" t="s">
        <v>12</v>
      </c>
      <c r="J8" s="162" t="s">
        <v>9</v>
      </c>
      <c r="K8" s="162" t="s">
        <v>10</v>
      </c>
      <c r="L8" s="162" t="s">
        <v>11</v>
      </c>
      <c r="M8" s="162" t="s">
        <v>13</v>
      </c>
      <c r="N8" s="162" t="s">
        <v>14</v>
      </c>
      <c r="O8" s="477"/>
      <c r="P8" s="478"/>
    </row>
    <row r="9" spans="2:19" x14ac:dyDescent="0.25">
      <c r="B9" s="467" t="s">
        <v>234</v>
      </c>
      <c r="C9" s="468"/>
      <c r="D9" s="469"/>
      <c r="E9" s="154">
        <v>6701497.0099999998</v>
      </c>
      <c r="F9" s="155"/>
      <c r="G9" s="155"/>
      <c r="H9" s="155"/>
      <c r="I9" s="155"/>
      <c r="J9" s="214"/>
      <c r="K9" s="155"/>
      <c r="L9" s="155"/>
      <c r="M9" s="155"/>
      <c r="N9" s="155"/>
      <c r="O9" s="155"/>
      <c r="P9" s="155"/>
    </row>
    <row r="10" spans="2:19" x14ac:dyDescent="0.25">
      <c r="B10" s="152"/>
      <c r="C10" s="153"/>
      <c r="D10" s="85"/>
      <c r="E10" s="154"/>
      <c r="F10" s="155"/>
      <c r="G10" s="155"/>
      <c r="H10" s="155"/>
      <c r="I10" s="155"/>
      <c r="J10" s="157"/>
      <c r="K10" s="154"/>
      <c r="L10" s="154"/>
      <c r="M10" s="154"/>
      <c r="N10" s="154"/>
      <c r="O10" s="154"/>
      <c r="P10" s="154"/>
      <c r="Q10" s="159"/>
      <c r="R10" s="159"/>
      <c r="S10" s="159"/>
    </row>
    <row r="11" spans="2:19" hidden="1" x14ac:dyDescent="0.25">
      <c r="B11" s="152"/>
      <c r="C11" s="153" t="s">
        <v>16</v>
      </c>
      <c r="D11" s="85"/>
      <c r="E11" s="154">
        <f>SUM(E12:E16)</f>
        <v>0</v>
      </c>
      <c r="F11" s="154"/>
      <c r="G11" s="154">
        <f>SUM(G12:G16)</f>
        <v>0</v>
      </c>
      <c r="H11" s="154">
        <f>SUM(H12:H16)</f>
        <v>0</v>
      </c>
      <c r="I11" s="154">
        <f>SUM(I12:I16)</f>
        <v>0</v>
      </c>
      <c r="J11" s="157"/>
      <c r="K11" s="154"/>
      <c r="L11" s="154"/>
      <c r="M11" s="154">
        <f>SUM(M13:M16)</f>
        <v>0</v>
      </c>
      <c r="N11" s="154">
        <f>SUM(N13:N16)</f>
        <v>0</v>
      </c>
      <c r="O11" s="154"/>
      <c r="P11" s="154"/>
      <c r="Q11" s="159"/>
      <c r="R11" s="159"/>
      <c r="S11" s="159"/>
    </row>
    <row r="12" spans="2:19" s="176" customFormat="1" hidden="1" x14ac:dyDescent="0.25">
      <c r="B12" s="171"/>
      <c r="C12" s="172"/>
      <c r="D12" s="173" t="s">
        <v>17</v>
      </c>
      <c r="E12" s="174"/>
      <c r="F12" s="174"/>
      <c r="G12" s="174"/>
      <c r="H12" s="174"/>
      <c r="I12" s="174"/>
      <c r="J12" s="215"/>
      <c r="K12" s="174"/>
      <c r="L12" s="174"/>
      <c r="M12" s="174"/>
      <c r="N12" s="174"/>
      <c r="O12" s="174"/>
      <c r="P12" s="174"/>
      <c r="Q12" s="175"/>
      <c r="R12" s="175"/>
      <c r="S12" s="175"/>
    </row>
    <row r="13" spans="2:19" ht="24" hidden="1" customHeight="1" x14ac:dyDescent="0.25">
      <c r="B13" s="152"/>
      <c r="C13" s="153"/>
      <c r="D13" s="85" t="s">
        <v>213</v>
      </c>
      <c r="E13" s="154"/>
      <c r="F13" s="154" t="s">
        <v>19</v>
      </c>
      <c r="G13" s="154"/>
      <c r="H13" s="154"/>
      <c r="I13" s="154"/>
      <c r="J13" s="157" t="s">
        <v>214</v>
      </c>
      <c r="K13" s="154"/>
      <c r="L13" s="154"/>
      <c r="M13" s="154"/>
      <c r="N13" s="154"/>
      <c r="O13" s="154"/>
      <c r="P13" s="154"/>
      <c r="Q13" s="159"/>
      <c r="R13" s="159"/>
      <c r="S13" s="159"/>
    </row>
    <row r="14" spans="2:19" ht="24" hidden="1" customHeight="1" x14ac:dyDescent="0.25">
      <c r="B14" s="152"/>
      <c r="C14" s="153"/>
      <c r="D14" s="85" t="s">
        <v>215</v>
      </c>
      <c r="E14" s="154"/>
      <c r="F14" s="154" t="s">
        <v>19</v>
      </c>
      <c r="G14" s="154"/>
      <c r="H14" s="154"/>
      <c r="I14" s="154"/>
      <c r="J14" s="157" t="s">
        <v>214</v>
      </c>
      <c r="K14" s="154"/>
      <c r="L14" s="154"/>
      <c r="M14" s="154"/>
      <c r="N14" s="154"/>
      <c r="O14" s="154"/>
      <c r="P14" s="154"/>
      <c r="Q14" s="159"/>
      <c r="R14" s="159"/>
      <c r="S14" s="159"/>
    </row>
    <row r="15" spans="2:19" s="176" customFormat="1" hidden="1" x14ac:dyDescent="0.25">
      <c r="B15" s="171"/>
      <c r="C15" s="172"/>
      <c r="D15" s="173" t="s">
        <v>180</v>
      </c>
      <c r="E15" s="174"/>
      <c r="F15" s="174"/>
      <c r="G15" s="174"/>
      <c r="H15" s="174"/>
      <c r="I15" s="174"/>
      <c r="J15" s="215"/>
      <c r="K15" s="174"/>
      <c r="L15" s="174"/>
      <c r="M15" s="174"/>
      <c r="N15" s="174"/>
      <c r="O15" s="174"/>
      <c r="P15" s="174"/>
      <c r="Q15" s="175"/>
      <c r="R15" s="175"/>
      <c r="S15" s="175"/>
    </row>
    <row r="16" spans="2:19" hidden="1" x14ac:dyDescent="0.25">
      <c r="B16" s="152"/>
      <c r="C16" s="153"/>
      <c r="D16" s="85" t="s">
        <v>216</v>
      </c>
      <c r="E16" s="154"/>
      <c r="F16" s="154" t="s">
        <v>19</v>
      </c>
      <c r="G16" s="154"/>
      <c r="H16" s="154"/>
      <c r="I16" s="154"/>
      <c r="J16" s="157" t="s">
        <v>214</v>
      </c>
      <c r="K16" s="154"/>
      <c r="L16" s="154"/>
      <c r="M16" s="154"/>
      <c r="N16" s="154"/>
      <c r="O16" s="154"/>
      <c r="P16" s="154"/>
      <c r="Q16" s="159"/>
      <c r="R16" s="159"/>
      <c r="S16" s="159"/>
    </row>
    <row r="17" spans="2:19" ht="27.75" customHeight="1" x14ac:dyDescent="0.25">
      <c r="B17" s="152"/>
      <c r="C17" s="164" t="s">
        <v>23</v>
      </c>
      <c r="D17" s="85"/>
      <c r="E17" s="154">
        <f>SUM(E19:E37)</f>
        <v>3300</v>
      </c>
      <c r="F17" s="154"/>
      <c r="G17" s="154">
        <f>SUM(G21:G35)</f>
        <v>900</v>
      </c>
      <c r="H17" s="154"/>
      <c r="I17" s="154">
        <f>SUM(I19:I37)</f>
        <v>-900</v>
      </c>
      <c r="J17" s="157"/>
      <c r="K17" s="154"/>
      <c r="L17" s="154"/>
      <c r="M17" s="154"/>
      <c r="N17" s="154">
        <f>SUM(N19:N37)</f>
        <v>-3300</v>
      </c>
      <c r="O17" s="154"/>
      <c r="P17" s="154"/>
      <c r="Q17" s="159"/>
      <c r="R17" s="159"/>
      <c r="S17" s="159"/>
    </row>
    <row r="18" spans="2:19" ht="32.25" customHeight="1" x14ac:dyDescent="0.25">
      <c r="B18" s="152"/>
      <c r="C18" s="203" t="s">
        <v>243</v>
      </c>
      <c r="D18" s="177" t="s">
        <v>71</v>
      </c>
      <c r="E18" s="154"/>
      <c r="F18" s="154"/>
      <c r="G18" s="154"/>
      <c r="H18" s="154"/>
      <c r="I18" s="154"/>
      <c r="J18" s="157"/>
      <c r="K18" s="154"/>
      <c r="L18" s="154"/>
      <c r="M18" s="154"/>
      <c r="N18" s="154"/>
      <c r="O18" s="154"/>
      <c r="P18" s="154"/>
      <c r="Q18" s="159"/>
      <c r="R18" s="159"/>
      <c r="S18" s="159"/>
    </row>
    <row r="19" spans="2:19" ht="32.25" customHeight="1" x14ac:dyDescent="0.25">
      <c r="B19" s="152"/>
      <c r="C19" s="153"/>
      <c r="D19" s="85" t="s">
        <v>217</v>
      </c>
      <c r="E19" s="154"/>
      <c r="F19" s="154" t="s">
        <v>218</v>
      </c>
      <c r="G19" s="154"/>
      <c r="H19" s="154"/>
      <c r="I19" s="154">
        <f>H19</f>
        <v>0</v>
      </c>
      <c r="J19" s="216" t="s">
        <v>219</v>
      </c>
      <c r="K19" s="154"/>
      <c r="L19" s="154"/>
      <c r="M19" s="154"/>
      <c r="N19" s="154"/>
      <c r="O19" s="154"/>
      <c r="P19" s="154"/>
      <c r="Q19" s="159"/>
      <c r="R19" s="159"/>
      <c r="S19" s="159"/>
    </row>
    <row r="20" spans="2:19" s="176" customFormat="1" ht="32.25" customHeight="1" x14ac:dyDescent="0.25">
      <c r="B20" s="171"/>
      <c r="C20" s="172"/>
      <c r="D20" s="177" t="s">
        <v>24</v>
      </c>
      <c r="E20" s="174"/>
      <c r="F20" s="174"/>
      <c r="G20" s="174"/>
      <c r="H20" s="174"/>
      <c r="I20" s="174"/>
      <c r="J20" s="215"/>
      <c r="K20" s="174"/>
      <c r="L20" s="174"/>
      <c r="M20" s="174"/>
      <c r="N20" s="174"/>
      <c r="O20" s="174"/>
      <c r="P20" s="174"/>
      <c r="Q20" s="175"/>
      <c r="R20" s="175"/>
      <c r="S20" s="175"/>
    </row>
    <row r="21" spans="2:19" x14ac:dyDescent="0.25">
      <c r="B21" s="152"/>
      <c r="C21" s="153"/>
      <c r="D21" s="85" t="s">
        <v>53</v>
      </c>
      <c r="E21" s="154">
        <f>-'[17]FC7 TF JEV'!$H$167</f>
        <v>-900</v>
      </c>
      <c r="F21" s="229" t="s">
        <v>53</v>
      </c>
      <c r="G21" s="154">
        <v>900</v>
      </c>
      <c r="H21" s="154"/>
      <c r="I21" s="154">
        <f>E21</f>
        <v>-900</v>
      </c>
      <c r="J21" s="157" t="s">
        <v>236</v>
      </c>
      <c r="K21" s="154"/>
      <c r="L21" s="154">
        <f>G21</f>
        <v>900</v>
      </c>
      <c r="M21" s="154"/>
      <c r="N21" s="154">
        <f>L21</f>
        <v>900</v>
      </c>
      <c r="O21" s="154"/>
      <c r="P21" s="154"/>
      <c r="Q21" s="159"/>
      <c r="R21" s="159"/>
      <c r="S21" s="159"/>
    </row>
    <row r="22" spans="2:19" ht="32.25" customHeight="1" x14ac:dyDescent="0.25">
      <c r="B22" s="152"/>
      <c r="C22" s="153"/>
      <c r="D22" s="85" t="s">
        <v>74</v>
      </c>
      <c r="E22" s="154"/>
      <c r="F22" s="85" t="s">
        <v>218</v>
      </c>
      <c r="G22" s="154">
        <f>E22</f>
        <v>0</v>
      </c>
      <c r="H22" s="154"/>
      <c r="I22" s="154">
        <f>G22</f>
        <v>0</v>
      </c>
      <c r="J22" s="157" t="s">
        <v>220</v>
      </c>
      <c r="K22" s="154"/>
      <c r="L22" s="154"/>
      <c r="M22" s="154"/>
      <c r="N22" s="154"/>
      <c r="O22" s="154"/>
      <c r="P22" s="154"/>
      <c r="Q22" s="159"/>
      <c r="R22" s="159" t="s">
        <v>221</v>
      </c>
      <c r="S22" s="159"/>
    </row>
    <row r="23" spans="2:19" x14ac:dyDescent="0.25">
      <c r="B23" s="152"/>
      <c r="C23" s="153"/>
      <c r="D23" s="85" t="s">
        <v>34</v>
      </c>
      <c r="E23" s="154"/>
      <c r="F23" s="85" t="s">
        <v>34</v>
      </c>
      <c r="G23" s="154"/>
      <c r="H23" s="154"/>
      <c r="I23" s="154"/>
      <c r="J23" s="157" t="s">
        <v>222</v>
      </c>
      <c r="K23" s="154"/>
      <c r="L23" s="154"/>
      <c r="M23" s="154"/>
      <c r="N23" s="154"/>
      <c r="O23" s="154"/>
      <c r="P23" s="154"/>
      <c r="Q23" s="159"/>
      <c r="R23" s="159"/>
      <c r="S23" s="159"/>
    </row>
    <row r="24" spans="2:19" x14ac:dyDescent="0.25">
      <c r="B24" s="152"/>
      <c r="C24" s="153"/>
      <c r="D24" s="85" t="s">
        <v>43</v>
      </c>
      <c r="E24" s="154"/>
      <c r="F24" s="178" t="s">
        <v>43</v>
      </c>
      <c r="G24" s="156"/>
      <c r="H24" s="154"/>
      <c r="I24" s="154"/>
      <c r="J24" s="157" t="s">
        <v>25</v>
      </c>
      <c r="K24" s="154"/>
      <c r="L24" s="154"/>
      <c r="M24" s="154"/>
      <c r="N24" s="154"/>
      <c r="O24" s="154"/>
      <c r="P24" s="154"/>
      <c r="Q24" s="159"/>
      <c r="R24" s="159"/>
      <c r="S24" s="159"/>
    </row>
    <row r="25" spans="2:19" ht="32.25" customHeight="1" x14ac:dyDescent="0.25">
      <c r="B25" s="152"/>
      <c r="C25" s="153"/>
      <c r="D25" s="179" t="s">
        <v>29</v>
      </c>
      <c r="E25" s="154"/>
      <c r="F25" s="178" t="s">
        <v>29</v>
      </c>
      <c r="G25" s="180"/>
      <c r="H25" s="154"/>
      <c r="I25" s="154">
        <f>H25</f>
        <v>0</v>
      </c>
      <c r="J25" s="157" t="s">
        <v>220</v>
      </c>
      <c r="K25" s="154"/>
      <c r="L25" s="154"/>
      <c r="M25" s="154"/>
      <c r="N25" s="154"/>
      <c r="O25" s="154"/>
      <c r="P25" s="154"/>
      <c r="Q25" s="159"/>
      <c r="R25" s="159"/>
      <c r="S25" s="159"/>
    </row>
    <row r="26" spans="2:19" x14ac:dyDescent="0.25">
      <c r="B26" s="152"/>
      <c r="C26" s="153"/>
      <c r="D26" s="85" t="s">
        <v>223</v>
      </c>
      <c r="E26" s="154"/>
      <c r="F26" s="155" t="s">
        <v>224</v>
      </c>
      <c r="G26" s="156"/>
      <c r="H26" s="154"/>
      <c r="I26" s="154"/>
      <c r="J26" s="157" t="s">
        <v>225</v>
      </c>
      <c r="K26" s="154"/>
      <c r="L26" s="154"/>
      <c r="M26" s="154"/>
      <c r="N26" s="154"/>
      <c r="O26" s="154"/>
      <c r="P26" s="154"/>
      <c r="Q26" s="159"/>
      <c r="R26" s="159"/>
      <c r="S26" s="159"/>
    </row>
    <row r="27" spans="2:19" s="176" customFormat="1" x14ac:dyDescent="0.25">
      <c r="B27" s="171"/>
      <c r="C27" s="172"/>
      <c r="D27" s="173"/>
      <c r="E27" s="174"/>
      <c r="F27" s="174"/>
      <c r="G27" s="181"/>
      <c r="H27" s="174"/>
      <c r="I27" s="174"/>
      <c r="J27" s="215"/>
      <c r="K27" s="174"/>
      <c r="L27" s="174"/>
      <c r="M27" s="174"/>
      <c r="N27" s="154"/>
      <c r="O27" s="174"/>
      <c r="P27" s="174"/>
      <c r="Q27" s="175"/>
      <c r="R27" s="175"/>
      <c r="S27" s="175"/>
    </row>
    <row r="28" spans="2:19" x14ac:dyDescent="0.25">
      <c r="B28" s="152"/>
      <c r="C28" s="153"/>
      <c r="D28" s="85"/>
      <c r="E28" s="154"/>
      <c r="F28" s="155" t="s">
        <v>80</v>
      </c>
      <c r="G28" s="156"/>
      <c r="H28" s="154"/>
      <c r="I28" s="154"/>
      <c r="J28" s="157" t="s">
        <v>25</v>
      </c>
      <c r="K28" s="154"/>
      <c r="L28" s="154"/>
      <c r="M28" s="154"/>
      <c r="N28" s="154"/>
      <c r="O28" s="154"/>
      <c r="P28" s="154"/>
      <c r="Q28" s="159"/>
      <c r="R28" s="159"/>
      <c r="S28" s="159"/>
    </row>
    <row r="29" spans="2:19" s="176" customFormat="1" ht="32.25" customHeight="1" x14ac:dyDescent="0.25">
      <c r="B29" s="171"/>
      <c r="C29" s="172"/>
      <c r="D29" s="164" t="s">
        <v>226</v>
      </c>
      <c r="E29" s="174"/>
      <c r="F29" s="174"/>
      <c r="G29" s="174"/>
      <c r="H29" s="174"/>
      <c r="I29" s="174"/>
      <c r="J29" s="215"/>
      <c r="K29" s="174"/>
      <c r="L29" s="174"/>
      <c r="M29" s="174"/>
      <c r="N29" s="174"/>
      <c r="O29" s="174"/>
      <c r="P29" s="174"/>
      <c r="Q29" s="175"/>
      <c r="R29" s="175"/>
      <c r="S29" s="175"/>
    </row>
    <row r="30" spans="2:19" x14ac:dyDescent="0.25">
      <c r="B30" s="152"/>
      <c r="C30" s="153"/>
      <c r="D30" s="85" t="s">
        <v>227</v>
      </c>
      <c r="E30" s="154"/>
      <c r="F30" s="154" t="s">
        <v>34</v>
      </c>
      <c r="G30" s="154"/>
      <c r="H30" s="154"/>
      <c r="I30" s="154"/>
      <c r="J30" s="157" t="s">
        <v>228</v>
      </c>
      <c r="K30" s="154"/>
      <c r="L30" s="154"/>
      <c r="M30" s="154"/>
      <c r="N30" s="154"/>
      <c r="O30" s="154"/>
      <c r="P30" s="154"/>
      <c r="Q30" s="159"/>
      <c r="R30" s="159"/>
      <c r="S30" s="159"/>
    </row>
    <row r="31" spans="2:19" x14ac:dyDescent="0.25">
      <c r="B31" s="152"/>
      <c r="C31" s="153"/>
      <c r="D31" s="85" t="s">
        <v>96</v>
      </c>
      <c r="E31" s="154"/>
      <c r="F31" s="154" t="s">
        <v>34</v>
      </c>
      <c r="G31" s="154"/>
      <c r="H31" s="154"/>
      <c r="I31" s="154">
        <f>H31</f>
        <v>0</v>
      </c>
      <c r="J31" s="157" t="s">
        <v>97</v>
      </c>
      <c r="K31" s="154"/>
      <c r="L31" s="154"/>
      <c r="M31" s="154"/>
      <c r="N31" s="154"/>
      <c r="O31" s="154"/>
      <c r="P31" s="154"/>
      <c r="Q31" s="159"/>
      <c r="R31" s="159"/>
      <c r="S31" s="159"/>
    </row>
    <row r="32" spans="2:19" ht="32.25" customHeight="1" x14ac:dyDescent="0.25">
      <c r="B32" s="152"/>
      <c r="C32" s="153"/>
      <c r="D32" s="85" t="s">
        <v>229</v>
      </c>
      <c r="E32" s="154"/>
      <c r="F32" s="154" t="s">
        <v>34</v>
      </c>
      <c r="G32" s="154"/>
      <c r="H32" s="154"/>
      <c r="I32" s="154">
        <f>H32</f>
        <v>0</v>
      </c>
      <c r="J32" s="157" t="s">
        <v>228</v>
      </c>
      <c r="K32" s="154"/>
      <c r="L32" s="154"/>
      <c r="M32" s="154"/>
      <c r="N32" s="154"/>
      <c r="O32" s="154"/>
      <c r="P32" s="154"/>
      <c r="Q32" s="159"/>
      <c r="R32" s="159"/>
      <c r="S32" s="159"/>
    </row>
    <row r="33" spans="2:20" x14ac:dyDescent="0.25">
      <c r="B33" s="152"/>
      <c r="C33" s="153"/>
      <c r="D33" s="85" t="s">
        <v>96</v>
      </c>
      <c r="E33" s="154"/>
      <c r="F33" s="154" t="s">
        <v>34</v>
      </c>
      <c r="G33" s="154"/>
      <c r="H33" s="154"/>
      <c r="I33" s="154">
        <f>G33*-1</f>
        <v>0</v>
      </c>
      <c r="J33" s="157" t="s">
        <v>97</v>
      </c>
      <c r="K33" s="154"/>
      <c r="L33" s="154"/>
      <c r="M33" s="154"/>
      <c r="N33" s="154">
        <f>L33</f>
        <v>0</v>
      </c>
      <c r="O33" s="154"/>
      <c r="P33" s="154"/>
      <c r="Q33" s="159"/>
      <c r="R33" s="159"/>
      <c r="S33" s="159"/>
    </row>
    <row r="34" spans="2:20" x14ac:dyDescent="0.25">
      <c r="B34" s="152"/>
      <c r="C34" s="153"/>
      <c r="D34" s="85" t="s">
        <v>230</v>
      </c>
      <c r="E34" s="154"/>
      <c r="F34" s="154" t="s">
        <v>34</v>
      </c>
      <c r="G34" s="154"/>
      <c r="H34" s="154"/>
      <c r="I34" s="154"/>
      <c r="J34" s="157" t="s">
        <v>91</v>
      </c>
      <c r="K34" s="154"/>
      <c r="L34" s="154"/>
      <c r="M34" s="154"/>
      <c r="N34" s="154"/>
      <c r="O34" s="154"/>
      <c r="P34" s="154"/>
      <c r="Q34" s="159"/>
      <c r="R34" s="159"/>
      <c r="S34" s="159"/>
    </row>
    <row r="35" spans="2:20" x14ac:dyDescent="0.25">
      <c r="B35" s="152"/>
      <c r="C35" s="153"/>
      <c r="D35" s="228" t="s">
        <v>247</v>
      </c>
      <c r="E35" s="154"/>
      <c r="F35" s="154"/>
      <c r="G35" s="154"/>
      <c r="H35" s="154"/>
      <c r="I35" s="154"/>
      <c r="J35" s="157"/>
      <c r="K35" s="154"/>
      <c r="L35" s="154"/>
      <c r="M35" s="154"/>
      <c r="N35" s="154"/>
      <c r="O35" s="154"/>
      <c r="P35" s="154"/>
      <c r="Q35" s="159"/>
      <c r="R35" s="159"/>
      <c r="S35" s="159"/>
    </row>
    <row r="36" spans="2:20" x14ac:dyDescent="0.25">
      <c r="B36" s="152"/>
      <c r="C36" s="153"/>
      <c r="D36" s="85" t="s">
        <v>248</v>
      </c>
      <c r="E36" s="154">
        <f>'[17]FC7 TF JEV'!$I$145</f>
        <v>4200</v>
      </c>
      <c r="F36" s="154"/>
      <c r="G36" s="154"/>
      <c r="H36" s="154"/>
      <c r="I36" s="154"/>
      <c r="J36" s="157" t="s">
        <v>236</v>
      </c>
      <c r="K36" s="154">
        <f>E36</f>
        <v>4200</v>
      </c>
      <c r="L36" s="154"/>
      <c r="M36" s="154"/>
      <c r="N36" s="154">
        <f>-K36</f>
        <v>-4200</v>
      </c>
      <c r="O36" s="154">
        <f>E36</f>
        <v>4200</v>
      </c>
      <c r="P36" s="154"/>
      <c r="Q36" s="159"/>
      <c r="R36" s="159"/>
      <c r="S36" s="159"/>
    </row>
    <row r="37" spans="2:20" x14ac:dyDescent="0.25">
      <c r="B37" s="152"/>
      <c r="C37" s="153"/>
      <c r="D37" s="182"/>
      <c r="E37" s="154"/>
      <c r="F37" s="154"/>
      <c r="G37" s="154"/>
      <c r="H37" s="154"/>
      <c r="I37" s="154"/>
      <c r="J37" s="157"/>
      <c r="K37" s="154"/>
      <c r="L37" s="154"/>
      <c r="M37" s="154"/>
      <c r="N37" s="154"/>
      <c r="O37" s="154"/>
      <c r="P37" s="154"/>
      <c r="Q37" s="159"/>
      <c r="R37" s="159"/>
      <c r="S37" s="159"/>
    </row>
    <row r="38" spans="2:20" s="168" customFormat="1" ht="32.25" customHeight="1" x14ac:dyDescent="0.25">
      <c r="B38" s="129" t="s">
        <v>235</v>
      </c>
      <c r="C38" s="164"/>
      <c r="D38" s="165"/>
      <c r="E38" s="166">
        <f>E9+E11+E17</f>
        <v>6704797.0099999998</v>
      </c>
      <c r="F38" s="166">
        <f>SUM(F9:F31)</f>
        <v>0</v>
      </c>
      <c r="G38" s="166"/>
      <c r="H38" s="166"/>
      <c r="I38" s="166">
        <f>SUM(I17+I11)</f>
        <v>-900</v>
      </c>
      <c r="J38" s="204">
        <f>SUM(J9:J31)</f>
        <v>0</v>
      </c>
      <c r="K38" s="166"/>
      <c r="L38" s="166"/>
      <c r="M38" s="166">
        <f>M17+M11</f>
        <v>0</v>
      </c>
      <c r="N38" s="166">
        <f>N17+N11</f>
        <v>-3300</v>
      </c>
      <c r="O38" s="166">
        <f>SUM(O9:O37)</f>
        <v>4200</v>
      </c>
      <c r="P38" s="166">
        <f>SUM(P9:P31)</f>
        <v>0</v>
      </c>
      <c r="Q38" s="167"/>
      <c r="R38" s="167"/>
      <c r="S38" s="167"/>
    </row>
    <row r="39" spans="2:20" x14ac:dyDescent="0.25">
      <c r="B39" s="176"/>
      <c r="E39" s="159">
        <f>E38-[37]TB!$Y$104</f>
        <v>0</v>
      </c>
      <c r="F39" s="183"/>
      <c r="I39" s="170">
        <f>G38-H38</f>
        <v>0</v>
      </c>
      <c r="J39" s="217"/>
      <c r="K39" s="159"/>
      <c r="L39" s="159"/>
      <c r="M39" s="159"/>
      <c r="N39" s="159"/>
      <c r="O39" s="159"/>
      <c r="P39" s="159"/>
      <c r="Q39" s="159"/>
      <c r="R39" s="159"/>
      <c r="S39" s="159"/>
    </row>
    <row r="40" spans="2:20" ht="24" customHeight="1" x14ac:dyDescent="0.25">
      <c r="B40" s="176"/>
      <c r="D40" s="158" t="s">
        <v>116</v>
      </c>
      <c r="I40" s="170"/>
      <c r="J40" s="151" t="s">
        <v>118</v>
      </c>
      <c r="K40" s="159"/>
      <c r="L40" s="159"/>
      <c r="M40" s="159"/>
      <c r="N40" s="170"/>
      <c r="O40" s="158" t="s">
        <v>119</v>
      </c>
      <c r="P40" s="159"/>
      <c r="Q40" s="159"/>
      <c r="R40" s="159"/>
      <c r="S40" s="159"/>
    </row>
    <row r="41" spans="2:20" ht="24" customHeight="1" x14ac:dyDescent="0.25">
      <c r="D41" s="151" t="s">
        <v>120</v>
      </c>
      <c r="E41" s="159">
        <f>E38</f>
        <v>6704797.0099999998</v>
      </c>
      <c r="I41" s="170"/>
      <c r="J41" s="217"/>
      <c r="K41" s="159" t="s">
        <v>121</v>
      </c>
      <c r="M41" s="159">
        <f>M38</f>
        <v>0</v>
      </c>
      <c r="N41" s="159"/>
      <c r="O41" s="159"/>
      <c r="P41" s="159"/>
      <c r="Q41" s="159"/>
      <c r="R41" s="159"/>
      <c r="S41" s="159"/>
    </row>
    <row r="42" spans="2:20" ht="24" customHeight="1" x14ac:dyDescent="0.25">
      <c r="D42" s="151" t="s">
        <v>122</v>
      </c>
      <c r="E42" s="184">
        <f>E9</f>
        <v>6701497.0099999998</v>
      </c>
      <c r="J42" s="217"/>
      <c r="K42" s="159" t="s">
        <v>123</v>
      </c>
      <c r="M42" s="184">
        <f>N38</f>
        <v>-3300</v>
      </c>
      <c r="N42" s="159"/>
      <c r="O42" s="159"/>
      <c r="P42" s="159"/>
      <c r="Q42" s="159"/>
      <c r="R42" s="159"/>
      <c r="S42" s="159"/>
    </row>
    <row r="43" spans="2:20" ht="24" customHeight="1" x14ac:dyDescent="0.25">
      <c r="D43" s="151" t="s">
        <v>124</v>
      </c>
      <c r="E43" s="167">
        <f>+E41-E42</f>
        <v>3300</v>
      </c>
      <c r="I43" s="169"/>
      <c r="J43" s="217"/>
      <c r="K43" s="159" t="s">
        <v>126</v>
      </c>
      <c r="M43" s="167">
        <f>M41-M42</f>
        <v>3300</v>
      </c>
      <c r="N43" s="159"/>
      <c r="O43" s="159" t="s">
        <v>126</v>
      </c>
      <c r="P43" s="167">
        <f>O38</f>
        <v>4200</v>
      </c>
      <c r="Q43" s="159"/>
      <c r="R43" s="159"/>
      <c r="S43" s="159"/>
    </row>
    <row r="44" spans="2:20" x14ac:dyDescent="0.25">
      <c r="I44" s="170"/>
      <c r="J44" s="217"/>
      <c r="K44" s="159" t="s">
        <v>127</v>
      </c>
      <c r="L44" s="159"/>
      <c r="M44" s="159"/>
      <c r="N44" s="167">
        <f>M41-M42</f>
        <v>3300</v>
      </c>
      <c r="O44" s="159"/>
      <c r="P44" s="159"/>
      <c r="Q44" s="159"/>
      <c r="R44" s="159"/>
      <c r="S44" s="159"/>
    </row>
    <row r="45" spans="2:20" x14ac:dyDescent="0.25">
      <c r="D45" s="170"/>
      <c r="E45" s="185"/>
      <c r="J45" s="217"/>
      <c r="K45" s="159"/>
      <c r="L45" s="159"/>
      <c r="M45" s="159"/>
      <c r="N45" s="159">
        <f>N44-E43</f>
        <v>0</v>
      </c>
      <c r="O45" s="159"/>
      <c r="P45" s="186"/>
      <c r="Q45" s="186"/>
      <c r="R45" s="186" t="s">
        <v>128</v>
      </c>
      <c r="S45" s="186" t="s">
        <v>129</v>
      </c>
      <c r="T45" s="187" t="s">
        <v>231</v>
      </c>
    </row>
    <row r="46" spans="2:20" x14ac:dyDescent="0.25">
      <c r="E46" s="188"/>
      <c r="J46" s="217"/>
      <c r="K46" s="159"/>
      <c r="L46" s="159"/>
      <c r="M46" s="159"/>
      <c r="N46" s="159"/>
      <c r="O46" s="159"/>
      <c r="P46" s="186" t="s">
        <v>232</v>
      </c>
      <c r="Q46" s="186">
        <f>-4074405.47</f>
        <v>-4074405.47</v>
      </c>
      <c r="R46" s="187"/>
      <c r="S46" s="186"/>
      <c r="T46" s="187"/>
    </row>
    <row r="47" spans="2:20" x14ac:dyDescent="0.25">
      <c r="D47" s="158" t="s">
        <v>130</v>
      </c>
      <c r="J47" s="217"/>
      <c r="K47" s="159" t="s">
        <v>131</v>
      </c>
      <c r="L47" s="159"/>
      <c r="M47" s="159"/>
      <c r="N47" s="159"/>
      <c r="O47" s="159"/>
      <c r="P47" s="186" t="s">
        <v>201</v>
      </c>
      <c r="Q47" s="186">
        <f>22029704.73-16100096.25</f>
        <v>5929608.4800000004</v>
      </c>
      <c r="R47" s="186">
        <v>-16100096.25</v>
      </c>
      <c r="S47" s="186">
        <v>0</v>
      </c>
      <c r="T47" s="186">
        <v>22029704.73</v>
      </c>
    </row>
    <row r="48" spans="2:20" x14ac:dyDescent="0.25">
      <c r="J48" s="217"/>
      <c r="K48" s="159"/>
      <c r="L48" s="159"/>
      <c r="M48" s="159"/>
      <c r="N48" s="159"/>
      <c r="O48" s="159"/>
      <c r="P48" s="186" t="s">
        <v>202</v>
      </c>
      <c r="Q48" s="186">
        <f>SUM(Q46:Q47)</f>
        <v>1855203.0100000002</v>
      </c>
      <c r="R48" s="186">
        <f>Q46+R47</f>
        <v>-20174501.719999999</v>
      </c>
      <c r="S48" s="186">
        <f>R48+S47</f>
        <v>-20174501.719999999</v>
      </c>
      <c r="T48" s="189">
        <f>S48+T47</f>
        <v>1855203.0100000016</v>
      </c>
    </row>
    <row r="49" spans="4:20" x14ac:dyDescent="0.25">
      <c r="J49" s="217"/>
      <c r="K49" s="159"/>
      <c r="L49" s="159"/>
      <c r="M49" s="159"/>
      <c r="N49" s="159"/>
      <c r="O49" s="159"/>
      <c r="P49" s="186"/>
      <c r="Q49" s="186"/>
      <c r="R49" s="186"/>
      <c r="S49" s="186"/>
      <c r="T49" s="187"/>
    </row>
    <row r="50" spans="4:20" ht="16.5" x14ac:dyDescent="0.25">
      <c r="D50" s="193" t="s">
        <v>233</v>
      </c>
      <c r="E50" s="190"/>
      <c r="F50" s="190"/>
      <c r="J50" s="218"/>
      <c r="K50" s="470" t="s">
        <v>132</v>
      </c>
      <c r="L50" s="470"/>
      <c r="M50" s="470"/>
      <c r="N50" s="191"/>
      <c r="O50" s="191"/>
      <c r="P50" s="192"/>
      <c r="Q50" s="186"/>
      <c r="R50" s="186"/>
      <c r="S50" s="186"/>
      <c r="T50" s="187"/>
    </row>
    <row r="51" spans="4:20" x14ac:dyDescent="0.25">
      <c r="D51" s="161" t="s">
        <v>133</v>
      </c>
      <c r="E51" s="161"/>
      <c r="F51" s="161"/>
      <c r="J51" s="217"/>
      <c r="K51" s="161" t="s">
        <v>134</v>
      </c>
      <c r="L51" s="161"/>
      <c r="M51" s="161"/>
      <c r="N51" s="159"/>
      <c r="O51" s="159"/>
      <c r="P51" s="159"/>
      <c r="Q51" s="159"/>
      <c r="R51" s="159"/>
      <c r="S51" s="159"/>
    </row>
    <row r="58" spans="4:20" x14ac:dyDescent="0.25">
      <c r="E58" s="158"/>
      <c r="J58" s="217"/>
    </row>
    <row r="59" spans="4:20" x14ac:dyDescent="0.25">
      <c r="E59" s="158"/>
      <c r="J59" s="217"/>
    </row>
    <row r="60" spans="4:20" x14ac:dyDescent="0.25">
      <c r="E60" s="158"/>
      <c r="J60" s="217"/>
    </row>
  </sheetData>
  <mergeCells count="8">
    <mergeCell ref="O6:P8"/>
    <mergeCell ref="F7:I7"/>
    <mergeCell ref="J7:N7"/>
    <mergeCell ref="B9:D9"/>
    <mergeCell ref="K50:M50"/>
    <mergeCell ref="B6:D8"/>
    <mergeCell ref="E6:E8"/>
    <mergeCell ref="F6:N6"/>
  </mergeCells>
  <pageMargins left="0.59055118110236227" right="0.59055118110236227" top="0.74803149606299213" bottom="0.74803149606299213" header="0.31496062992125984" footer="0.31496062992125984"/>
  <pageSetup paperSize="9" scale="42" fitToHeight="0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230"/>
  <sheetViews>
    <sheetView topLeftCell="A7" zoomScaleNormal="100" workbookViewId="0">
      <pane xSplit="8" ySplit="13" topLeftCell="I20" activePane="bottomRight" state="frozen"/>
      <selection activeCell="D62" sqref="D62"/>
      <selection pane="topRight" activeCell="D62" sqref="D62"/>
      <selection pane="bottomLeft" activeCell="D62" sqref="D62"/>
      <selection pane="bottomRight" activeCell="A9" sqref="A9:C9"/>
    </sheetView>
  </sheetViews>
  <sheetFormatPr defaultColWidth="9.140625" defaultRowHeight="15.75" x14ac:dyDescent="0.25"/>
  <cols>
    <col min="1" max="1" width="2.28515625" style="110" customWidth="1"/>
    <col min="2" max="2" width="2.85546875" style="277" customWidth="1"/>
    <col min="3" max="3" width="41" style="109" customWidth="1"/>
    <col min="4" max="6" width="22.140625" style="109" hidden="1" customWidth="1"/>
    <col min="7" max="7" width="33.7109375" style="108" customWidth="1"/>
    <col min="8" max="8" width="28.5703125" style="109" customWidth="1"/>
    <col min="9" max="9" width="27.42578125" style="110" customWidth="1"/>
    <col min="10" max="10" width="18.85546875" style="110" customWidth="1"/>
    <col min="11" max="11" width="17.140625" style="197" customWidth="1"/>
    <col min="12" max="12" width="17.140625" style="220" hidden="1" customWidth="1"/>
    <col min="13" max="13" width="40.7109375" style="110" bestFit="1" customWidth="1"/>
    <col min="14" max="14" width="17.5703125" style="110" customWidth="1"/>
    <col min="15" max="15" width="19" style="110" customWidth="1"/>
    <col min="16" max="16" width="18.85546875" style="110" customWidth="1"/>
    <col min="17" max="17" width="22.7109375" style="110" bestFit="1" customWidth="1"/>
    <col min="18" max="18" width="15.85546875" style="110" customWidth="1"/>
    <col min="19" max="19" width="16.28515625" style="110" customWidth="1"/>
    <col min="20" max="20" width="11.28515625" style="110" bestFit="1" customWidth="1"/>
    <col min="21" max="21" width="23.5703125" style="110" bestFit="1" customWidth="1"/>
    <col min="22" max="23" width="23.140625" style="110" bestFit="1" customWidth="1"/>
    <col min="24" max="24" width="17" style="110" bestFit="1" customWidth="1"/>
    <col min="25" max="16384" width="9.140625" style="110"/>
  </cols>
  <sheetData>
    <row r="1" spans="1:22" s="104" customFormat="1" ht="31.15" customHeight="1" x14ac:dyDescent="0.25">
      <c r="A1" s="1" t="s">
        <v>0</v>
      </c>
      <c r="B1" s="272"/>
      <c r="C1" s="2"/>
      <c r="D1" s="2"/>
      <c r="E1" s="2"/>
      <c r="F1" s="2"/>
      <c r="G1" s="102"/>
      <c r="H1" s="103"/>
      <c r="K1" s="196"/>
      <c r="L1" s="219"/>
    </row>
    <row r="2" spans="1:22" s="104" customFormat="1" ht="15.6" customHeight="1" x14ac:dyDescent="0.25">
      <c r="A2" s="1" t="s">
        <v>1</v>
      </c>
      <c r="B2" s="272"/>
      <c r="C2" s="2"/>
      <c r="D2" s="2"/>
      <c r="E2" s="2"/>
      <c r="F2" s="2"/>
      <c r="G2" s="102"/>
      <c r="H2" s="103"/>
      <c r="K2" s="196"/>
      <c r="L2" s="219"/>
    </row>
    <row r="3" spans="1:22" s="104" customFormat="1" x14ac:dyDescent="0.25">
      <c r="A3" s="1" t="s">
        <v>293</v>
      </c>
      <c r="B3" s="272"/>
      <c r="C3" s="2"/>
      <c r="D3" s="2"/>
      <c r="E3" s="2"/>
      <c r="F3" s="2"/>
      <c r="G3" s="102"/>
      <c r="H3" s="106"/>
      <c r="I3" s="107"/>
      <c r="K3" s="196"/>
      <c r="L3" s="219"/>
    </row>
    <row r="4" spans="1:22" s="104" customFormat="1" x14ac:dyDescent="0.25">
      <c r="A4" s="1" t="s">
        <v>2</v>
      </c>
      <c r="B4" s="272"/>
      <c r="C4" s="2"/>
      <c r="D4" s="2"/>
      <c r="E4" s="2"/>
      <c r="F4" s="2"/>
      <c r="G4" s="102"/>
      <c r="H4" s="103"/>
      <c r="K4" s="196"/>
      <c r="L4" s="219"/>
      <c r="M4" s="233">
        <f>Q172-G171</f>
        <v>59173.759999752045</v>
      </c>
      <c r="N4" s="107"/>
      <c r="O4" s="107"/>
      <c r="P4" s="105"/>
    </row>
    <row r="5" spans="1:22" ht="16.149999999999999" customHeight="1" x14ac:dyDescent="0.25">
      <c r="A5" s="104"/>
      <c r="B5" s="273"/>
      <c r="C5" s="103"/>
      <c r="D5" s="243" t="s">
        <v>306</v>
      </c>
      <c r="E5" s="243" t="s">
        <v>305</v>
      </c>
      <c r="F5" s="243" t="s">
        <v>304</v>
      </c>
    </row>
    <row r="6" spans="1:22" ht="16.5" customHeight="1" x14ac:dyDescent="0.25">
      <c r="A6" s="408" t="s">
        <v>3</v>
      </c>
      <c r="B6" s="408"/>
      <c r="C6" s="408"/>
      <c r="D6" s="338"/>
      <c r="E6" s="338"/>
      <c r="F6" s="338"/>
      <c r="G6" s="409" t="s">
        <v>4</v>
      </c>
      <c r="H6" s="408" t="s">
        <v>5</v>
      </c>
      <c r="I6" s="408"/>
      <c r="J6" s="408"/>
      <c r="K6" s="408"/>
      <c r="L6" s="408"/>
      <c r="M6" s="408"/>
      <c r="N6" s="408"/>
      <c r="O6" s="408"/>
      <c r="P6" s="408"/>
      <c r="Q6" s="408"/>
      <c r="R6" s="410" t="s">
        <v>241</v>
      </c>
      <c r="S6" s="411"/>
    </row>
    <row r="7" spans="1:22" x14ac:dyDescent="0.25">
      <c r="A7" s="408"/>
      <c r="B7" s="408"/>
      <c r="C7" s="408"/>
      <c r="D7" s="338"/>
      <c r="E7" s="338"/>
      <c r="F7" s="338"/>
      <c r="G7" s="409"/>
      <c r="H7" s="416" t="s">
        <v>7</v>
      </c>
      <c r="I7" s="417"/>
      <c r="J7" s="417"/>
      <c r="K7" s="418"/>
      <c r="L7" s="339"/>
      <c r="M7" s="408" t="s">
        <v>8</v>
      </c>
      <c r="N7" s="408"/>
      <c r="O7" s="408"/>
      <c r="P7" s="408"/>
      <c r="Q7" s="408"/>
      <c r="R7" s="412"/>
      <c r="S7" s="413"/>
    </row>
    <row r="8" spans="1:22" s="111" customFormat="1" x14ac:dyDescent="0.25">
      <c r="A8" s="408"/>
      <c r="B8" s="408"/>
      <c r="C8" s="408"/>
      <c r="D8" s="338"/>
      <c r="E8" s="338"/>
      <c r="F8" s="338"/>
      <c r="G8" s="409"/>
      <c r="H8" s="341" t="s">
        <v>9</v>
      </c>
      <c r="I8" s="341" t="s">
        <v>10</v>
      </c>
      <c r="J8" s="341" t="s">
        <v>11</v>
      </c>
      <c r="K8" s="198" t="s">
        <v>12</v>
      </c>
      <c r="L8" s="198"/>
      <c r="M8" s="341" t="s">
        <v>9</v>
      </c>
      <c r="N8" s="341" t="s">
        <v>10</v>
      </c>
      <c r="O8" s="341" t="s">
        <v>11</v>
      </c>
      <c r="P8" s="341" t="s">
        <v>13</v>
      </c>
      <c r="Q8" s="341" t="s">
        <v>14</v>
      </c>
      <c r="R8" s="414"/>
      <c r="S8" s="415"/>
    </row>
    <row r="9" spans="1:22" ht="33" customHeight="1" x14ac:dyDescent="0.25">
      <c r="A9" s="419" t="s">
        <v>234</v>
      </c>
      <c r="B9" s="420"/>
      <c r="C9" s="421"/>
      <c r="D9" s="340"/>
      <c r="E9" s="340"/>
      <c r="F9" s="340"/>
      <c r="G9" s="112">
        <v>1963112594.0999999</v>
      </c>
      <c r="H9" s="113"/>
      <c r="I9" s="114"/>
      <c r="J9" s="114"/>
      <c r="K9" s="199"/>
      <c r="L9" s="221"/>
      <c r="M9" s="114"/>
      <c r="N9" s="114"/>
      <c r="O9" s="114"/>
      <c r="P9" s="114"/>
      <c r="Q9" s="114"/>
      <c r="R9" s="114"/>
      <c r="S9" s="114"/>
    </row>
    <row r="10" spans="1:22" x14ac:dyDescent="0.25">
      <c r="A10" s="115"/>
      <c r="B10" s="274"/>
      <c r="C10" s="116"/>
      <c r="D10" s="116"/>
      <c r="E10" s="116"/>
      <c r="F10" s="116"/>
      <c r="G10" s="117"/>
      <c r="H10" s="113"/>
      <c r="I10" s="114"/>
      <c r="J10" s="114"/>
      <c r="K10" s="199"/>
      <c r="L10" s="221"/>
      <c r="M10" s="117"/>
      <c r="N10" s="117"/>
      <c r="O10" s="117"/>
      <c r="P10" s="117"/>
      <c r="Q10" s="117"/>
      <c r="R10" s="117"/>
      <c r="S10" s="117"/>
      <c r="T10" s="108"/>
      <c r="U10" s="108"/>
      <c r="V10" s="108"/>
    </row>
    <row r="11" spans="1:22" s="104" customFormat="1" ht="15" customHeight="1" x14ac:dyDescent="0.25">
      <c r="A11" s="118"/>
      <c r="B11" s="275"/>
      <c r="C11" s="119" t="s">
        <v>16</v>
      </c>
      <c r="D11" s="119"/>
      <c r="E11" s="119"/>
      <c r="F11" s="119"/>
      <c r="G11" s="112">
        <f>SUM(G13:G14)</f>
        <v>-35450.35</v>
      </c>
      <c r="H11" s="120"/>
      <c r="I11" s="112">
        <v>0</v>
      </c>
      <c r="J11" s="112">
        <f>SUM(J13:J14)</f>
        <v>3.62</v>
      </c>
      <c r="K11" s="200">
        <f>+J11</f>
        <v>3.62</v>
      </c>
      <c r="L11" s="222"/>
      <c r="M11" s="112"/>
      <c r="N11" s="112"/>
      <c r="O11" s="112"/>
      <c r="P11" s="112">
        <f>SUM(P12:P13)</f>
        <v>-35450.35</v>
      </c>
      <c r="Q11" s="112">
        <f>SUM(Q13:Q14)</f>
        <v>0</v>
      </c>
      <c r="R11" s="112"/>
      <c r="S11" s="112"/>
      <c r="T11" s="102"/>
      <c r="U11" s="102"/>
      <c r="V11" s="102"/>
    </row>
    <row r="12" spans="1:22" s="126" customFormat="1" ht="15.6" customHeight="1" x14ac:dyDescent="0.25">
      <c r="A12" s="121"/>
      <c r="B12" s="276"/>
      <c r="C12" s="122" t="s">
        <v>17</v>
      </c>
      <c r="D12" s="122"/>
      <c r="E12" s="122"/>
      <c r="F12" s="122"/>
      <c r="G12" s="123"/>
      <c r="H12" s="124"/>
      <c r="I12" s="123"/>
      <c r="J12" s="123"/>
      <c r="K12" s="201"/>
      <c r="L12" s="223"/>
      <c r="M12" s="123"/>
      <c r="N12" s="123"/>
      <c r="O12" s="123"/>
      <c r="P12" s="123"/>
      <c r="Q12" s="123"/>
      <c r="R12" s="123"/>
      <c r="S12" s="123"/>
      <c r="T12" s="125"/>
      <c r="U12" s="125"/>
      <c r="V12" s="125"/>
    </row>
    <row r="13" spans="1:22" ht="15.6" customHeight="1" x14ac:dyDescent="0.25">
      <c r="A13" s="115"/>
      <c r="B13" s="274">
        <v>4020221099</v>
      </c>
      <c r="C13" s="127" t="s">
        <v>188</v>
      </c>
      <c r="D13" s="127">
        <v>-35450.35</v>
      </c>
      <c r="E13" s="127"/>
      <c r="F13" s="127"/>
      <c r="G13" s="117">
        <v>-35450.35</v>
      </c>
      <c r="H13" s="128" t="s">
        <v>188</v>
      </c>
      <c r="I13" s="117"/>
      <c r="J13" s="117">
        <v>3.62</v>
      </c>
      <c r="K13" s="199">
        <v>3.62</v>
      </c>
      <c r="L13" s="221"/>
      <c r="M13" s="117" t="s">
        <v>246</v>
      </c>
      <c r="N13" s="117">
        <v>3.62</v>
      </c>
      <c r="O13" s="117">
        <v>35453.97</v>
      </c>
      <c r="P13" s="117">
        <v>-35450.35</v>
      </c>
      <c r="Q13" s="117"/>
      <c r="R13" s="117"/>
      <c r="S13" s="117">
        <v>-35450.35</v>
      </c>
      <c r="T13" s="108"/>
      <c r="U13" s="108"/>
      <c r="V13" s="108"/>
    </row>
    <row r="14" spans="1:22" ht="15.6" customHeight="1" x14ac:dyDescent="0.25">
      <c r="A14" s="115"/>
      <c r="B14" s="274"/>
      <c r="C14" s="127" t="s">
        <v>21</v>
      </c>
      <c r="D14" s="127"/>
      <c r="E14" s="127"/>
      <c r="F14" s="127"/>
      <c r="G14" s="117"/>
      <c r="H14" s="128" t="s">
        <v>19</v>
      </c>
      <c r="I14" s="117"/>
      <c r="J14" s="117">
        <f>G14</f>
        <v>0</v>
      </c>
      <c r="K14" s="199">
        <f>J14</f>
        <v>0</v>
      </c>
      <c r="L14" s="221"/>
      <c r="M14" s="117" t="s">
        <v>22</v>
      </c>
      <c r="N14" s="117"/>
      <c r="O14" s="117"/>
      <c r="P14" s="117"/>
      <c r="Q14" s="117">
        <f>N14*-1</f>
        <v>0</v>
      </c>
      <c r="R14" s="117"/>
      <c r="S14" s="117"/>
      <c r="T14" s="108"/>
      <c r="U14" s="108"/>
      <c r="V14" s="108"/>
    </row>
    <row r="15" spans="1:22" s="104" customFormat="1" x14ac:dyDescent="0.25">
      <c r="A15" s="129"/>
      <c r="B15" s="275" t="s">
        <v>23</v>
      </c>
      <c r="C15" s="130"/>
      <c r="D15" s="130"/>
      <c r="E15" s="130"/>
      <c r="F15" s="130"/>
      <c r="G15" s="112">
        <f>SUM(G17:G165)</f>
        <v>-1146235342.9389865</v>
      </c>
      <c r="H15" s="120"/>
      <c r="I15" s="112">
        <f>SUM(I17:I137)</f>
        <v>1161691471.6689868</v>
      </c>
      <c r="J15" s="112">
        <f>SUM(J17:J137)</f>
        <v>3855278.9099999997</v>
      </c>
      <c r="K15" s="200">
        <f>SUM(K17:K165)</f>
        <v>-1148550446.0289867</v>
      </c>
      <c r="L15" s="222"/>
      <c r="M15" s="112"/>
      <c r="N15" s="112">
        <f>SUM(N17:N165)</f>
        <v>34564813.189999998</v>
      </c>
      <c r="O15" s="112">
        <f>SUM(O17:O165)</f>
        <v>1191653923.5789866</v>
      </c>
      <c r="P15" s="112">
        <f>SUM(P17:P165)</f>
        <v>-1120083796.4689867</v>
      </c>
      <c r="Q15" s="112">
        <f>SUM(Q17:Q165)</f>
        <v>26092372.710000005</v>
      </c>
      <c r="R15" s="112"/>
      <c r="S15" s="112"/>
      <c r="T15" s="102"/>
      <c r="U15" s="102"/>
      <c r="V15" s="102"/>
    </row>
    <row r="16" spans="1:22" s="126" customFormat="1" ht="31.5" x14ac:dyDescent="0.25">
      <c r="A16" s="121"/>
      <c r="B16" s="276" t="s">
        <v>237</v>
      </c>
      <c r="C16" s="122" t="s">
        <v>24</v>
      </c>
      <c r="D16" s="122"/>
      <c r="E16" s="122"/>
      <c r="F16" s="122"/>
      <c r="G16" s="123"/>
      <c r="H16" s="124"/>
      <c r="I16" s="123"/>
      <c r="J16" s="123"/>
      <c r="K16" s="201"/>
      <c r="L16" s="224"/>
      <c r="M16" s="123"/>
      <c r="N16" s="123"/>
      <c r="O16" s="123"/>
      <c r="P16" s="123"/>
      <c r="Q16" s="123"/>
      <c r="R16" s="123"/>
      <c r="S16" s="123"/>
      <c r="T16" s="125"/>
      <c r="U16" s="125"/>
      <c r="V16" s="125"/>
    </row>
    <row r="17" spans="1:22" ht="31.5" x14ac:dyDescent="0.25">
      <c r="A17" s="115"/>
      <c r="B17" s="274">
        <v>5010102000</v>
      </c>
      <c r="C17" s="127" t="s">
        <v>26</v>
      </c>
      <c r="D17" s="242">
        <f>IFERROR(VLOOKUP(B17,'WORKING PAPER FC1'!$I$19:$J$31,2,FALSE),0)</f>
        <v>0</v>
      </c>
      <c r="E17" s="127"/>
      <c r="F17" s="242">
        <f>IFERROR(VLOOKUP(B17,'WORKING PAPER FC1'!$I$11:$J$12,2,FALSE),0)</f>
        <v>0</v>
      </c>
      <c r="G17" s="117">
        <f>-'[7]ADAdj-APRGOP'!$BX$152-'[7]ADAdj-APRGOP'!$BX$201-'[7]ADAdj-APRGOP'!$BX$202-'[7]ADAdj-APRGOP'!$BX$131-1790.3-6062.08-'[8]ADAdj-APRGOP'!$BX$28-'[8]ADAdj-APRGOP'!$BX$27-'[8]ADAdj-APRGOP'!$BX$17-'[8]ADAdj-APRGOP'!$BX$16-'[8]ADAdj-APRGOP'!$BX$15-'[8]ADAdj-APRGOP'!$BX$14-'[8]ADAdj-APRGOP'!$BX$338-11058.29+2900+9915.55-127957.25+2900-35381.58-88864.29+4440+'WORKING PAPER FC1'!AC50+2900</f>
        <v>-305277.70999999996</v>
      </c>
      <c r="H17" s="127" t="s">
        <v>26</v>
      </c>
      <c r="I17" s="117">
        <f t="shared" ref="I17:I22" si="0">G17*-1</f>
        <v>305277.70999999996</v>
      </c>
      <c r="J17" s="117"/>
      <c r="K17" s="199">
        <f t="shared" ref="K17:K22" si="1">G17</f>
        <v>-305277.70999999996</v>
      </c>
      <c r="L17" s="225">
        <v>2010101000</v>
      </c>
      <c r="M17" s="117" t="s">
        <v>25</v>
      </c>
      <c r="N17" s="117"/>
      <c r="O17" s="117">
        <f>I17</f>
        <v>305277.70999999996</v>
      </c>
      <c r="P17" s="117"/>
      <c r="Q17" s="117">
        <f t="shared" ref="Q17:Q27" si="2">O17</f>
        <v>305277.70999999996</v>
      </c>
      <c r="R17" s="117"/>
      <c r="S17" s="117"/>
      <c r="T17" s="108"/>
      <c r="U17" s="108"/>
      <c r="V17" s="108"/>
    </row>
    <row r="18" spans="1:22" ht="31.5" x14ac:dyDescent="0.25">
      <c r="A18" s="115"/>
      <c r="B18" s="274">
        <v>5010102000</v>
      </c>
      <c r="C18" s="127" t="s">
        <v>26</v>
      </c>
      <c r="D18" s="242">
        <f>IFERROR(VLOOKUP(B18,'WORKING PAPER FC1'!$I$19:$J$31,2,FALSE),0)</f>
        <v>0</v>
      </c>
      <c r="E18" s="127"/>
      <c r="F18" s="242">
        <f>IFERROR(VLOOKUP(B18,'WORKING PAPER FC1'!$I$11:$J$12,2,FALSE),0)</f>
        <v>0</v>
      </c>
      <c r="G18" s="117">
        <f>-'[7]ADAdj-APRGOP'!$BX$153-'[8]ADAdj-APRGOP'!$BX$139-'[8]ADAdj-APRGOP'!$BX$108-'[8]ADAdj-APRGOP'!$BX$41-'[8]ADAdj-APRGOP'!$BX$39-'[8]ADAdj-APRGOP'!$BX$37-'[8]ADAdj-APRGOP'!$BX$35-'[8]ADAdj-APRGOP'!$BX$33-'[8]ADAdj-APRGOP'!$BX$31-'[9]ADAdj-APRGOP'!$O$1017-32587.78</f>
        <v>-204747.09</v>
      </c>
      <c r="H18" s="116" t="s">
        <v>26</v>
      </c>
      <c r="I18" s="117">
        <f t="shared" si="0"/>
        <v>204747.09</v>
      </c>
      <c r="J18" s="117"/>
      <c r="K18" s="199">
        <f t="shared" si="1"/>
        <v>-204747.09</v>
      </c>
      <c r="L18" s="225">
        <v>2020102001</v>
      </c>
      <c r="M18" s="117" t="s">
        <v>291</v>
      </c>
      <c r="N18" s="117"/>
      <c r="O18" s="117">
        <f t="shared" ref="O18:O80" si="3">I18</f>
        <v>204747.09</v>
      </c>
      <c r="P18" s="117"/>
      <c r="Q18" s="117">
        <f t="shared" si="2"/>
        <v>204747.09</v>
      </c>
      <c r="R18" s="117"/>
      <c r="S18" s="117"/>
      <c r="T18" s="108"/>
      <c r="U18" s="108"/>
      <c r="V18" s="108"/>
    </row>
    <row r="19" spans="1:22" ht="31.5" x14ac:dyDescent="0.25">
      <c r="A19" s="115"/>
      <c r="B19" s="274">
        <v>5010102000</v>
      </c>
      <c r="C19" s="127" t="s">
        <v>26</v>
      </c>
      <c r="D19" s="242">
        <f>IFERROR(VLOOKUP(B19,'WORKING PAPER FC1'!$I$19:$J$31,2,FALSE),0)</f>
        <v>0</v>
      </c>
      <c r="E19" s="127"/>
      <c r="F19" s="242">
        <f>IFERROR(VLOOKUP(B19,'WORKING PAPER FC1'!$I$11:$J$12,2,FALSE),0)</f>
        <v>0</v>
      </c>
      <c r="G19" s="117">
        <f>-'[10]JANUARY 2023'!$EL$442-'[10]JANUARY 2023'!$EL$444-'[10]JANUARY 2023'!$EL$446-'[10]JANUARY 2023'!$EL$448-'[10]JANUARY 2023'!$EL$450-'[11]FEBRUARY 2023 SORT REV'!$EL$786-'[11]FEBRUARY 2023 SORT REV'!$EL$784</f>
        <v>-4379.1400000000003</v>
      </c>
      <c r="H19" s="116" t="s">
        <v>26</v>
      </c>
      <c r="I19" s="117">
        <f t="shared" si="0"/>
        <v>4379.1400000000003</v>
      </c>
      <c r="J19" s="117"/>
      <c r="K19" s="199">
        <f t="shared" si="1"/>
        <v>-4379.1400000000003</v>
      </c>
      <c r="L19" s="225">
        <v>2020104000</v>
      </c>
      <c r="M19" s="117" t="s">
        <v>236</v>
      </c>
      <c r="N19" s="117"/>
      <c r="O19" s="117">
        <f t="shared" si="3"/>
        <v>4379.1400000000003</v>
      </c>
      <c r="P19" s="117"/>
      <c r="Q19" s="117">
        <f t="shared" si="2"/>
        <v>4379.1400000000003</v>
      </c>
      <c r="R19" s="117"/>
      <c r="S19" s="117"/>
      <c r="T19" s="108"/>
      <c r="U19" s="108"/>
      <c r="V19" s="108"/>
    </row>
    <row r="20" spans="1:22" ht="31.5" x14ac:dyDescent="0.25">
      <c r="A20" s="115"/>
      <c r="B20" s="274">
        <v>5010102000</v>
      </c>
      <c r="C20" s="127" t="s">
        <v>26</v>
      </c>
      <c r="D20" s="242">
        <f>IFERROR(VLOOKUP(B20,'WORKING PAPER FC1'!$I$19:$J$31,2,FALSE),0)</f>
        <v>0</v>
      </c>
      <c r="E20" s="127"/>
      <c r="F20" s="242">
        <f>IFERROR(VLOOKUP(B20,'WORKING PAPER FC1'!$I$11:$J$12,2,FALSE),0)</f>
        <v>0</v>
      </c>
      <c r="G20" s="117">
        <f>-'[8]ADAdj-APRGOP'!$BX$154-'[8]ADAdj-APRGOP'!$BX$156</f>
        <v>-200</v>
      </c>
      <c r="H20" s="127" t="s">
        <v>26</v>
      </c>
      <c r="I20" s="117">
        <f t="shared" si="0"/>
        <v>200</v>
      </c>
      <c r="J20" s="117"/>
      <c r="K20" s="199">
        <f t="shared" si="1"/>
        <v>-200</v>
      </c>
      <c r="L20" s="225">
        <v>2020103001</v>
      </c>
      <c r="M20" s="117" t="s">
        <v>292</v>
      </c>
      <c r="N20" s="117"/>
      <c r="O20" s="117">
        <f t="shared" si="3"/>
        <v>200</v>
      </c>
      <c r="P20" s="117"/>
      <c r="Q20" s="117">
        <f t="shared" si="2"/>
        <v>200</v>
      </c>
      <c r="R20" s="117"/>
      <c r="S20" s="117"/>
      <c r="T20" s="108"/>
      <c r="U20" s="108"/>
      <c r="V20" s="108"/>
    </row>
    <row r="21" spans="1:22" ht="31.5" x14ac:dyDescent="0.25">
      <c r="A21" s="115"/>
      <c r="B21" s="274">
        <v>5010301000</v>
      </c>
      <c r="C21" s="127" t="s">
        <v>27</v>
      </c>
      <c r="D21" s="242">
        <f>IFERROR(VLOOKUP(B21,'WORKING PAPER FC1'!$I$19:$J$31,2,FALSE),0)</f>
        <v>0</v>
      </c>
      <c r="E21" s="127"/>
      <c r="F21" s="242">
        <f>IFERROR(VLOOKUP(B21,'WORKING PAPER FC1'!$I$11:$J$12,2,FALSE),0)</f>
        <v>0</v>
      </c>
      <c r="G21" s="117">
        <f>-14307.07</f>
        <v>-14307.07</v>
      </c>
      <c r="H21" s="127" t="s">
        <v>27</v>
      </c>
      <c r="I21" s="117">
        <f t="shared" si="0"/>
        <v>14307.07</v>
      </c>
      <c r="J21" s="117"/>
      <c r="K21" s="199">
        <f t="shared" si="1"/>
        <v>-14307.07</v>
      </c>
      <c r="L21" s="225">
        <v>2010101000</v>
      </c>
      <c r="M21" s="117" t="s">
        <v>25</v>
      </c>
      <c r="N21" s="117"/>
      <c r="O21" s="117">
        <f t="shared" si="3"/>
        <v>14307.07</v>
      </c>
      <c r="P21" s="117"/>
      <c r="Q21" s="117">
        <f t="shared" si="2"/>
        <v>14307.07</v>
      </c>
      <c r="R21" s="117"/>
      <c r="S21" s="117"/>
      <c r="T21" s="108"/>
      <c r="U21" s="108"/>
      <c r="V21" s="108"/>
    </row>
    <row r="22" spans="1:22" x14ac:dyDescent="0.25">
      <c r="A22" s="115"/>
      <c r="B22" s="274">
        <v>5021601000</v>
      </c>
      <c r="C22" s="127" t="s">
        <v>58</v>
      </c>
      <c r="D22" s="242">
        <f>IFERROR(VLOOKUP(B22,'WORKING PAPER FC1'!$I$19:$J$31,2,FALSE),0)</f>
        <v>0</v>
      </c>
      <c r="E22" s="127"/>
      <c r="F22" s="242">
        <f>IFERROR(VLOOKUP(B22,'WORKING PAPER FC1'!$I$11:$J$12,2,FALSE),0)</f>
        <v>0</v>
      </c>
      <c r="G22" s="117">
        <f>-'[8]ADAdj-APRGOP'!$BX$147</f>
        <v>-4000</v>
      </c>
      <c r="H22" s="127" t="s">
        <v>58</v>
      </c>
      <c r="I22" s="117">
        <f t="shared" si="0"/>
        <v>4000</v>
      </c>
      <c r="J22" s="117"/>
      <c r="K22" s="199">
        <f t="shared" si="1"/>
        <v>-4000</v>
      </c>
      <c r="L22" s="225">
        <v>2010101000</v>
      </c>
      <c r="M22" s="117" t="s">
        <v>25</v>
      </c>
      <c r="N22" s="117"/>
      <c r="O22" s="117">
        <f t="shared" si="3"/>
        <v>4000</v>
      </c>
      <c r="P22" s="117"/>
      <c r="Q22" s="117">
        <f t="shared" si="2"/>
        <v>4000</v>
      </c>
      <c r="R22" s="117"/>
      <c r="S22" s="117"/>
      <c r="T22" s="108"/>
      <c r="U22" s="108"/>
      <c r="V22" s="108"/>
    </row>
    <row r="23" spans="1:22" x14ac:dyDescent="0.25">
      <c r="A23" s="115"/>
      <c r="B23" s="274">
        <v>5020502001</v>
      </c>
      <c r="C23" s="127" t="s">
        <v>80</v>
      </c>
      <c r="D23" s="242">
        <f>IFERROR(VLOOKUP(B23,'WORKING PAPER FC1'!$I$19:$J$31,2,FALSE),0)</f>
        <v>0</v>
      </c>
      <c r="E23" s="127"/>
      <c r="F23" s="242">
        <f>IFERROR(VLOOKUP(B23,'WORKING PAPER FC1'!$I$11:$J$12,2,FALSE),0)</f>
        <v>0</v>
      </c>
      <c r="G23" s="117">
        <f>-'[11]FEBRUARY 2023 SORT REV'!$EL$204-'[11]FEBRUARY 2023 SORT REV'!$EL$205-'[11]FEBRUARY 2023 SORT REV'!$EL$206-'[12]MARCH 2023 arranged per ADA'!$EM$2873+'[12]MARCH 2023 arranged per ADA'!$AV$424-900+3770</f>
        <v>-14222</v>
      </c>
      <c r="H23" s="127" t="s">
        <v>80</v>
      </c>
      <c r="I23" s="117">
        <f t="shared" ref="I23:I34" si="4">G23*-1-J23</f>
        <v>14214</v>
      </c>
      <c r="J23" s="117">
        <f>'[12]MARCH 2023 arranged per ADA'!$AV$424</f>
        <v>8</v>
      </c>
      <c r="K23" s="199">
        <f>-I23-J23</f>
        <v>-14222</v>
      </c>
      <c r="L23" s="225">
        <v>2010101000</v>
      </c>
      <c r="M23" s="117" t="s">
        <v>25</v>
      </c>
      <c r="N23" s="117">
        <f>J23</f>
        <v>8</v>
      </c>
      <c r="O23" s="117">
        <f>I23</f>
        <v>14214</v>
      </c>
      <c r="P23" s="117"/>
      <c r="Q23" s="117">
        <f>N23+O23</f>
        <v>14222</v>
      </c>
      <c r="R23" s="117"/>
      <c r="S23" s="117"/>
      <c r="T23" s="108"/>
      <c r="U23" s="108"/>
      <c r="V23" s="108"/>
    </row>
    <row r="24" spans="1:22" x14ac:dyDescent="0.25">
      <c r="A24" s="115"/>
      <c r="B24" s="274">
        <v>5020101000</v>
      </c>
      <c r="C24" s="127" t="s">
        <v>28</v>
      </c>
      <c r="D24" s="242">
        <f>IFERROR(VLOOKUP(B24,'WORKING PAPER FC1'!$I$19:$J$31,2,FALSE),0)</f>
        <v>0</v>
      </c>
      <c r="E24" s="127"/>
      <c r="F24" s="242">
        <f>IFERROR(VLOOKUP(B24,'WORKING PAPER FC1'!$I$11:$J$12,2,FALSE),0)</f>
        <v>0</v>
      </c>
      <c r="G24" s="117">
        <f>-'[11]FEBRUARY 2023 SORT REV'!$EL$610-'[11]FEBRUARY 2023 SORT REV'!$EL$602-'[11]FEBRUARY 2023 SORT REV'!$EL$624-'[11]FEBRUARY 2023 SORT REV'!$EL$203-'[8]ADAdj-APRGOP'!$BX$48-'[8]ADAdj-APRGOP'!$BX$54-'[8]ADAdj-APRGOP'!$BX$57-'[8]ADAdj-APRGOP'!$BX$65-'[8]ADAdj-APRGOP'!$BX$271-'[8]ADAdj-APRGOP'!$BX$272-'[12]MARCH 2023 arranged per ADA'!$EM$2865-'[12]MARCH 2023 arranged per ADA'!$EM$2874+'[12]MARCH 2023 arranged per ADA'!$AV$1518-'[9]ADAdj-APRGOP'!$O$1018+'[9]ADAdj-APRGOP'!$O$1031-385200-16066+6156-18022+363385.13</f>
        <v>-890927.87</v>
      </c>
      <c r="H24" s="116" t="s">
        <v>28</v>
      </c>
      <c r="I24" s="117">
        <f t="shared" si="4"/>
        <v>788028.87</v>
      </c>
      <c r="J24" s="117">
        <f>'[12]MARCH 2023 arranged per ADA'!$AV$1518+'[9]ADAdj-APRGOP'!$O$1031</f>
        <v>102899</v>
      </c>
      <c r="K24" s="199">
        <f>-I24-J24</f>
        <v>-890927.87</v>
      </c>
      <c r="L24" s="225">
        <v>2010101000</v>
      </c>
      <c r="M24" s="117" t="s">
        <v>25</v>
      </c>
      <c r="N24" s="117">
        <f>J24</f>
        <v>102899</v>
      </c>
      <c r="O24" s="117">
        <f>I24</f>
        <v>788028.87</v>
      </c>
      <c r="P24" s="117"/>
      <c r="Q24" s="117">
        <f>N24+O24</f>
        <v>890927.87</v>
      </c>
      <c r="R24" s="117"/>
      <c r="S24" s="117"/>
      <c r="T24" s="108"/>
      <c r="U24" s="108"/>
      <c r="V24" s="108"/>
    </row>
    <row r="25" spans="1:22" x14ac:dyDescent="0.25">
      <c r="A25" s="115"/>
      <c r="B25" s="274">
        <v>5020201002</v>
      </c>
      <c r="C25" s="127" t="s">
        <v>29</v>
      </c>
      <c r="D25" s="242">
        <f>IFERROR(VLOOKUP(B25,'WORKING PAPER FC1'!$I$19:$J$31,2,FALSE),0)</f>
        <v>0</v>
      </c>
      <c r="E25" s="127"/>
      <c r="F25" s="242">
        <f>IFERROR(VLOOKUP(B25,'WORKING PAPER FC1'!$I$11:$J$12,2,FALSE),0)</f>
        <v>0</v>
      </c>
      <c r="G25" s="117">
        <f>-'[11]FEBRUARY 2023 SORT REV'!$EL$74-'[11]FEBRUARY 2023 SORT REV'!$EL$75-'[11]FEBRUARY 2023 SORT REV'!$EL$504-'[11]FEBRUARY 2023 SORT REV'!$EL$505-'[12]MARCH 2023 arranged per ADA'!$EM$2866-'[9]ADAdj-APRGOP'!$O$1019-84417-943930-898350-847989.57-273250+F25+'WORKING PAPER FC1'!T16+'WORKING PAPER FC1'!AC9-25000-20000+6888</f>
        <v>-6342153.2000000002</v>
      </c>
      <c r="H25" s="116" t="s">
        <v>29</v>
      </c>
      <c r="I25" s="117">
        <f t="shared" si="4"/>
        <v>6342153.2000000002</v>
      </c>
      <c r="J25" s="117"/>
      <c r="K25" s="199">
        <f t="shared" ref="K25:K52" si="5">G25</f>
        <v>-6342153.2000000002</v>
      </c>
      <c r="L25" s="225">
        <v>2010101000</v>
      </c>
      <c r="M25" s="117" t="s">
        <v>25</v>
      </c>
      <c r="N25" s="117"/>
      <c r="O25" s="117">
        <f t="shared" si="3"/>
        <v>6342153.2000000002</v>
      </c>
      <c r="P25" s="117"/>
      <c r="Q25" s="117">
        <f t="shared" si="2"/>
        <v>6342153.2000000002</v>
      </c>
      <c r="R25" s="117"/>
      <c r="S25" s="117"/>
      <c r="T25" s="108"/>
      <c r="U25" s="108"/>
      <c r="V25" s="108"/>
    </row>
    <row r="26" spans="1:22" x14ac:dyDescent="0.25">
      <c r="A26" s="115"/>
      <c r="B26" s="274">
        <v>5021202000</v>
      </c>
      <c r="C26" s="127" t="s">
        <v>249</v>
      </c>
      <c r="D26" s="242">
        <f>IFERROR(VLOOKUP(B26,'WORKING PAPER FC1'!$I$19:$J$31,2,FALSE),0)</f>
        <v>0</v>
      </c>
      <c r="E26" s="127"/>
      <c r="F26" s="242">
        <f>IFERROR(VLOOKUP(B26,'WORKING PAPER FC1'!$I$11:$J$12,2,FALSE),0)</f>
        <v>0</v>
      </c>
      <c r="G26" s="117">
        <f>-'[12]MARCH 2023 arranged per ADA'!$EM$2876</f>
        <v>-268878.54000000004</v>
      </c>
      <c r="H26" s="127" t="s">
        <v>249</v>
      </c>
      <c r="I26" s="117">
        <f t="shared" si="4"/>
        <v>268878.54000000004</v>
      </c>
      <c r="J26" s="117"/>
      <c r="K26" s="199">
        <f>G26</f>
        <v>-268878.54000000004</v>
      </c>
      <c r="L26" s="225">
        <v>2010101000</v>
      </c>
      <c r="M26" s="117" t="s">
        <v>25</v>
      </c>
      <c r="N26" s="117"/>
      <c r="O26" s="117">
        <f t="shared" si="3"/>
        <v>268878.54000000004</v>
      </c>
      <c r="P26" s="117"/>
      <c r="Q26" s="117">
        <f t="shared" si="2"/>
        <v>268878.54000000004</v>
      </c>
      <c r="R26" s="117"/>
      <c r="S26" s="117"/>
      <c r="T26" s="108"/>
      <c r="U26" s="108"/>
      <c r="V26" s="108"/>
    </row>
    <row r="27" spans="1:22" x14ac:dyDescent="0.25">
      <c r="A27" s="115"/>
      <c r="B27" s="274">
        <v>5021203000</v>
      </c>
      <c r="C27" s="127" t="s">
        <v>52</v>
      </c>
      <c r="D27" s="242">
        <f>IFERROR(VLOOKUP(B27,'WORKING PAPER FC1'!$I$19:$J$31,2,FALSE),0)</f>
        <v>0</v>
      </c>
      <c r="E27" s="127"/>
      <c r="F27" s="242">
        <f>IFERROR(VLOOKUP(B27,'WORKING PAPER FC1'!$I$11:$J$12,2,FALSE),0)</f>
        <v>0</v>
      </c>
      <c r="G27" s="117">
        <f>-'[12]MARCH 2023 arranged per ADA'!$EM$2877</f>
        <v>-620623.19999999995</v>
      </c>
      <c r="H27" s="127" t="s">
        <v>52</v>
      </c>
      <c r="I27" s="117">
        <f t="shared" si="4"/>
        <v>620623.19999999995</v>
      </c>
      <c r="J27" s="117"/>
      <c r="K27" s="199">
        <f t="shared" si="5"/>
        <v>-620623.19999999995</v>
      </c>
      <c r="L27" s="225">
        <v>2010101000</v>
      </c>
      <c r="M27" s="117" t="s">
        <v>25</v>
      </c>
      <c r="N27" s="117"/>
      <c r="O27" s="117">
        <f t="shared" si="3"/>
        <v>620623.19999999995</v>
      </c>
      <c r="P27" s="117"/>
      <c r="Q27" s="117">
        <f t="shared" si="2"/>
        <v>620623.19999999995</v>
      </c>
      <c r="R27" s="117"/>
      <c r="S27" s="117"/>
      <c r="T27" s="108"/>
      <c r="U27" s="108"/>
      <c r="V27" s="108"/>
    </row>
    <row r="28" spans="1:22" x14ac:dyDescent="0.25">
      <c r="A28" s="115"/>
      <c r="B28" s="274">
        <v>5021499000</v>
      </c>
      <c r="C28" s="127" t="s">
        <v>34</v>
      </c>
      <c r="D28" s="242">
        <f>IFERROR(VLOOKUP(B28,'WORKING PAPER FC1'!$I$19:$J$31,2,FALSE),0)</f>
        <v>0</v>
      </c>
      <c r="E28" s="127"/>
      <c r="F28" s="242">
        <v>0</v>
      </c>
      <c r="G28" s="117">
        <f>-'[11]FEBRUARY 2023 SORT REV'!$EL$796-'[11]FEBRUARY 2023 SORT REV'!$EL$797-150000+3200</f>
        <v>-154000</v>
      </c>
      <c r="H28" s="127" t="s">
        <v>34</v>
      </c>
      <c r="I28" s="117">
        <f t="shared" si="4"/>
        <v>154000</v>
      </c>
      <c r="J28" s="117"/>
      <c r="K28" s="199">
        <f t="shared" si="5"/>
        <v>-154000</v>
      </c>
      <c r="L28" s="225">
        <v>2020104000</v>
      </c>
      <c r="M28" s="127" t="s">
        <v>236</v>
      </c>
      <c r="N28" s="117"/>
      <c r="O28" s="117">
        <f t="shared" si="3"/>
        <v>154000</v>
      </c>
      <c r="P28" s="117"/>
      <c r="Q28" s="117">
        <f>O28</f>
        <v>154000</v>
      </c>
      <c r="R28" s="117"/>
      <c r="S28" s="117"/>
      <c r="T28" s="108"/>
      <c r="U28" s="108"/>
      <c r="V28" s="108"/>
    </row>
    <row r="29" spans="1:22" x14ac:dyDescent="0.25">
      <c r="A29" s="115"/>
      <c r="B29" s="274">
        <v>5020501000</v>
      </c>
      <c r="C29" s="127" t="s">
        <v>239</v>
      </c>
      <c r="D29" s="242">
        <f>IFERROR(VLOOKUP(B29,'WORKING PAPER FC1'!$I$19:$J$31,2,FALSE),0)</f>
        <v>0</v>
      </c>
      <c r="E29" s="127"/>
      <c r="F29" s="242">
        <f>IFERROR(VLOOKUP(B29,'WORKING PAPER FC1'!$I$11:$J$12,2,FALSE),0)</f>
        <v>0</v>
      </c>
      <c r="G29" s="117">
        <f>-'[10]JANUARY 2023'!$EL$599</f>
        <v>-7297</v>
      </c>
      <c r="H29" s="127" t="s">
        <v>239</v>
      </c>
      <c r="I29" s="117">
        <f t="shared" si="4"/>
        <v>7297</v>
      </c>
      <c r="J29" s="117"/>
      <c r="K29" s="199">
        <f>G29</f>
        <v>-7297</v>
      </c>
      <c r="L29" s="225">
        <v>1010102000</v>
      </c>
      <c r="M29" s="117" t="s">
        <v>93</v>
      </c>
      <c r="N29" s="117"/>
      <c r="O29" s="117">
        <f t="shared" si="3"/>
        <v>7297</v>
      </c>
      <c r="P29" s="117">
        <f>O29*-1</f>
        <v>-7297</v>
      </c>
      <c r="Q29" s="117"/>
      <c r="R29" s="117"/>
      <c r="S29" s="117"/>
      <c r="T29" s="108"/>
      <c r="U29" s="108"/>
      <c r="V29" s="108"/>
    </row>
    <row r="30" spans="1:22" ht="31.5" x14ac:dyDescent="0.25">
      <c r="A30" s="115"/>
      <c r="B30" s="274">
        <v>5020399000</v>
      </c>
      <c r="C30" s="127" t="s">
        <v>33</v>
      </c>
      <c r="D30" s="242"/>
      <c r="E30" s="127"/>
      <c r="F30" s="242">
        <f>IFERROR(VLOOKUP(B30,'WORKING PAPER FC1'!$I$11:$J$12,2,FALSE),0)</f>
        <v>0</v>
      </c>
      <c r="G30" s="117">
        <f>-'[10]JANUARY 2023'!$EL$590-'[10]JANUARY 2023'!$EL$600-'[11]FEBRUARY 2023 SORT REV'!$EL$745-14236.5</f>
        <v>-43686.94</v>
      </c>
      <c r="H30" s="127" t="s">
        <v>33</v>
      </c>
      <c r="I30" s="117">
        <f t="shared" si="4"/>
        <v>43686.94</v>
      </c>
      <c r="J30" s="117"/>
      <c r="K30" s="199">
        <f>G30</f>
        <v>-43686.94</v>
      </c>
      <c r="L30" s="225">
        <v>1010102000</v>
      </c>
      <c r="M30" s="117" t="s">
        <v>93</v>
      </c>
      <c r="N30" s="117"/>
      <c r="O30" s="117">
        <f t="shared" si="3"/>
        <v>43686.94</v>
      </c>
      <c r="P30" s="117">
        <f>O30*-1</f>
        <v>-43686.94</v>
      </c>
      <c r="Q30" s="117"/>
      <c r="R30" s="117"/>
      <c r="S30" s="117"/>
      <c r="T30" s="108"/>
      <c r="U30" s="108"/>
      <c r="V30" s="108"/>
    </row>
    <row r="31" spans="1:22" ht="31.5" x14ac:dyDescent="0.25">
      <c r="A31" s="115"/>
      <c r="B31" s="274">
        <v>5020399000</v>
      </c>
      <c r="C31" s="127" t="s">
        <v>33</v>
      </c>
      <c r="D31" s="242"/>
      <c r="E31" s="127"/>
      <c r="F31" s="242">
        <f>IFERROR(VLOOKUP(B31,'WORKING PAPER FC1'!$I$11:$J$12,2,FALSE),0)</f>
        <v>0</v>
      </c>
      <c r="G31" s="117">
        <f>-'[12]MARCH 2023 arranged per ADA'!$EM$2872-'[9]ADAdj-APRGOP'!$O$1022+'WORKING PAPER FC1'!T23</f>
        <v>-223584</v>
      </c>
      <c r="H31" s="127" t="s">
        <v>33</v>
      </c>
      <c r="I31" s="117">
        <f t="shared" si="4"/>
        <v>223584</v>
      </c>
      <c r="J31" s="117"/>
      <c r="K31" s="199">
        <f>G31</f>
        <v>-223584</v>
      </c>
      <c r="L31" s="225">
        <v>2010101000</v>
      </c>
      <c r="M31" s="117" t="s">
        <v>25</v>
      </c>
      <c r="N31" s="117"/>
      <c r="O31" s="117">
        <f>I31</f>
        <v>223584</v>
      </c>
      <c r="P31" s="117"/>
      <c r="Q31" s="117">
        <f>O31</f>
        <v>223584</v>
      </c>
      <c r="R31" s="117"/>
      <c r="S31" s="117"/>
      <c r="T31" s="108"/>
      <c r="U31" s="108"/>
      <c r="V31" s="108"/>
    </row>
    <row r="32" spans="1:22" x14ac:dyDescent="0.25">
      <c r="A32" s="115"/>
      <c r="B32" s="274">
        <v>5020301002</v>
      </c>
      <c r="C32" s="127" t="s">
        <v>30</v>
      </c>
      <c r="D32" s="242">
        <f>IFERROR(VLOOKUP(B32,'WORKING PAPER FC1'!$I$19:$J$31,2,FALSE),0)</f>
        <v>0</v>
      </c>
      <c r="E32" s="127"/>
      <c r="F32" s="242">
        <f>IFERROR(VLOOKUP(B32,'WORKING PAPER FC1'!$I$11:$J$12,2,FALSE),0)</f>
        <v>0</v>
      </c>
      <c r="G32" s="117">
        <f>-'[12]MARCH 2023 arranged per ADA'!$EM$2867+'[12]MARCH 2023 arranged per ADA'!$AV$258+'[12]MARCH 2023 arranged per ADA'!$AV$282-'[9]ADAdj-APRGOP'!$O$1020-5000-192147.95-1970-6250</f>
        <v>-540789.21</v>
      </c>
      <c r="H32" s="127" t="s">
        <v>30</v>
      </c>
      <c r="I32" s="117">
        <f t="shared" si="4"/>
        <v>539768.47</v>
      </c>
      <c r="J32" s="117">
        <f>'[12]MARCH 2023 arranged per ADA'!$AV$282+'[12]MARCH 2023 arranged per ADA'!$AV$258</f>
        <v>1020.74</v>
      </c>
      <c r="K32" s="199">
        <f>-I32-J32</f>
        <v>-540789.21</v>
      </c>
      <c r="L32" s="225">
        <v>2010101000</v>
      </c>
      <c r="M32" s="117" t="s">
        <v>25</v>
      </c>
      <c r="N32" s="117">
        <f>J32</f>
        <v>1020.74</v>
      </c>
      <c r="O32" s="117">
        <f>I32</f>
        <v>539768.47</v>
      </c>
      <c r="P32" s="117"/>
      <c r="Q32" s="117">
        <f>N32+O32</f>
        <v>540789.21</v>
      </c>
      <c r="R32" s="117"/>
      <c r="S32" s="117"/>
      <c r="T32" s="108"/>
      <c r="U32" s="108"/>
      <c r="V32" s="108"/>
    </row>
    <row r="33" spans="1:22" x14ac:dyDescent="0.25">
      <c r="A33" s="115"/>
      <c r="B33" s="274">
        <v>5020301002</v>
      </c>
      <c r="C33" s="127" t="s">
        <v>30</v>
      </c>
      <c r="D33" s="242"/>
      <c r="E33" s="127"/>
      <c r="F33" s="242"/>
      <c r="G33" s="117">
        <v>0</v>
      </c>
      <c r="H33" s="127" t="s">
        <v>30</v>
      </c>
      <c r="I33" s="117">
        <f t="shared" si="4"/>
        <v>0</v>
      </c>
      <c r="J33" s="117"/>
      <c r="K33" s="199">
        <f>-I33-J33</f>
        <v>0</v>
      </c>
      <c r="L33" s="225">
        <v>1040401000</v>
      </c>
      <c r="M33" s="117" t="s">
        <v>317</v>
      </c>
      <c r="N33" s="117"/>
      <c r="O33" s="117">
        <f>I33</f>
        <v>0</v>
      </c>
      <c r="P33" s="117">
        <f>O33*-1</f>
        <v>0</v>
      </c>
      <c r="Q33" s="117"/>
      <c r="R33" s="117"/>
      <c r="S33" s="117"/>
      <c r="T33" s="108"/>
      <c r="U33" s="108"/>
      <c r="V33" s="108"/>
    </row>
    <row r="34" spans="1:22" ht="31.5" x14ac:dyDescent="0.25">
      <c r="A34" s="115"/>
      <c r="B34" s="274">
        <v>5020399000</v>
      </c>
      <c r="C34" s="127" t="s">
        <v>296</v>
      </c>
      <c r="D34" s="242">
        <f>IFERROR(VLOOKUP(B34,'WORKING PAPER FC1'!$I$19:$J$31,2,FALSE),0)</f>
        <v>0</v>
      </c>
      <c r="E34" s="127"/>
      <c r="F34" s="242">
        <f>IFERROR(VLOOKUP(B34,'WORKING PAPER FC1'!$I$11:$J$12,2,FALSE),0)</f>
        <v>0</v>
      </c>
      <c r="G34" s="117">
        <f>-54307611.06-'[13]JEV-GJ.'!$H$607-33118735.6+'[12]MARCH 2023 arranged per ADA'!$AV$447-[14]April!$G$259-[15]April!$G$463+D34+'WORKING PAPER FC1'!T19+'WORKING PAPER FC1'!AC12-31946848.39-27140359.81+'WORKING PAPER FC1'!AC56-24785357.95</f>
        <v>-211050762.61000001</v>
      </c>
      <c r="H34" s="127" t="s">
        <v>296</v>
      </c>
      <c r="I34" s="117">
        <f t="shared" si="4"/>
        <v>211050762.59</v>
      </c>
      <c r="J34" s="117">
        <f>'[12]MARCH 2023 arranged per ADA'!$AV$447</f>
        <v>0.02</v>
      </c>
      <c r="K34" s="199">
        <f>-I34-J34</f>
        <v>-211050762.61000001</v>
      </c>
      <c r="L34" s="225">
        <v>1040299000</v>
      </c>
      <c r="M34" s="117" t="s">
        <v>35</v>
      </c>
      <c r="N34" s="117">
        <f>J34</f>
        <v>0.02</v>
      </c>
      <c r="O34" s="117">
        <f>I34</f>
        <v>211050762.59</v>
      </c>
      <c r="P34" s="117">
        <f>(N34+O34)*-1</f>
        <v>-211050762.61000001</v>
      </c>
      <c r="Q34" s="117"/>
      <c r="R34" s="117"/>
      <c r="S34" s="117"/>
      <c r="T34" s="108"/>
      <c r="U34" s="256"/>
      <c r="V34" s="102"/>
    </row>
    <row r="35" spans="1:22" x14ac:dyDescent="0.25">
      <c r="A35" s="115"/>
      <c r="B35" s="274">
        <v>5020306000</v>
      </c>
      <c r="C35" s="127" t="s">
        <v>256</v>
      </c>
      <c r="D35" s="242">
        <f>IFERROR(VLOOKUP(B35,'WORKING PAPER FC1'!$I$19:$J$31,2,FALSE),0)</f>
        <v>0</v>
      </c>
      <c r="E35" s="127"/>
      <c r="F35" s="242">
        <f>IFERROR(VLOOKUP(B35,'WORKING PAPER FC1'!$I$11:$J$12,2,FALSE),0)</f>
        <v>0</v>
      </c>
      <c r="G35" s="117">
        <f>-12695548.74-757035.32-'[16]JEV-GJ.'!$H$11-'[16]JEV-GJ.'!$H$115-6506407.67-22250-48440.94-1389254-1508262-1858149.11-515438.72-1346258.02-78689-322818+580752.5+D35+'WORKING PAPER FC1'!T26+'WORKING PAPER FC1'!AC14-35254768.62+'WORKING PAPER FC1'!AC58+'WORKING PAPER FC1'!AD58-217555311.83-5295271.87</f>
        <v>-291336472.74898708</v>
      </c>
      <c r="H35" s="127" t="s">
        <v>256</v>
      </c>
      <c r="I35" s="117">
        <f>G35*-1-J35-5295271.87</f>
        <v>286041200.87898707</v>
      </c>
      <c r="J35" s="117"/>
      <c r="K35" s="199">
        <f>I35*-1</f>
        <v>-286041200.87898707</v>
      </c>
      <c r="L35" s="225">
        <v>1040202000</v>
      </c>
      <c r="M35" s="117" t="s">
        <v>36</v>
      </c>
      <c r="N35" s="117"/>
      <c r="O35" s="117">
        <f>G35*-1</f>
        <v>291336472.74898708</v>
      </c>
      <c r="P35" s="117">
        <f>(N35+O35)*-1</f>
        <v>-291336472.74898708</v>
      </c>
      <c r="Q35" s="117"/>
      <c r="R35" s="117"/>
      <c r="S35" s="117">
        <v>-5295271.87</v>
      </c>
      <c r="T35" s="108"/>
      <c r="U35" s="108"/>
      <c r="V35" s="108"/>
    </row>
    <row r="36" spans="1:22" x14ac:dyDescent="0.25">
      <c r="A36" s="115"/>
      <c r="B36" s="274">
        <v>5021499000</v>
      </c>
      <c r="C36" s="127" t="s">
        <v>34</v>
      </c>
      <c r="D36" s="242">
        <f>IFERROR(VLOOKUP(B36,'WORKING PAPER FC1'!$I$19:$J$31,2,FALSE),0)</f>
        <v>0</v>
      </c>
      <c r="E36" s="127"/>
      <c r="F36" s="242">
        <f>IFERROR(VLOOKUP(B36,'WORKING PAPER FC1'!$I$11:$J$12,2,FALSE),0)</f>
        <v>0</v>
      </c>
      <c r="G36" s="117">
        <f>-'[11]FEBRUARY 2023 SORT REV'!$EL$686-'[11]FEBRUARY 2023 SORT REV'!$EL$687-'[11]FEBRUARY 2023 SORT REV'!$EL$718-'[12]MARCH 2023 arranged per ADA'!$EM$2880-5000-1010000-1235000+F36+'WORKING PAPER FC1'!T13+412144.42+2262819.44</f>
        <v>-6370692.540000001</v>
      </c>
      <c r="H36" s="127" t="s">
        <v>34</v>
      </c>
      <c r="I36" s="117">
        <f t="shared" ref="I36:I80" si="6">G36*-1-J36</f>
        <v>6370692.540000001</v>
      </c>
      <c r="J36" s="117"/>
      <c r="K36" s="199">
        <f t="shared" si="5"/>
        <v>-6370692.540000001</v>
      </c>
      <c r="L36" s="225">
        <v>2010101000</v>
      </c>
      <c r="M36" s="117" t="s">
        <v>25</v>
      </c>
      <c r="N36" s="117"/>
      <c r="O36" s="117">
        <f t="shared" si="3"/>
        <v>6370692.540000001</v>
      </c>
      <c r="P36" s="117"/>
      <c r="Q36" s="117">
        <f t="shared" ref="Q36:Q44" si="7">O36</f>
        <v>6370692.540000001</v>
      </c>
      <c r="R36" s="117"/>
      <c r="S36" s="117"/>
      <c r="T36" s="108"/>
      <c r="U36" s="108"/>
      <c r="V36" s="108"/>
    </row>
    <row r="37" spans="1:22" x14ac:dyDescent="0.25">
      <c r="A37" s="115"/>
      <c r="B37" s="274">
        <v>5021503000</v>
      </c>
      <c r="C37" s="127" t="s">
        <v>41</v>
      </c>
      <c r="D37" s="242">
        <f>IFERROR(VLOOKUP(B37,'WORKING PAPER FC1'!$I$19:$J$31,2,FALSE),0)</f>
        <v>0</v>
      </c>
      <c r="E37" s="127"/>
      <c r="F37" s="242">
        <f>IFERROR(VLOOKUP(B37,'WORKING PAPER FC1'!$I$11:$J$12,2,FALSE),0)</f>
        <v>0</v>
      </c>
      <c r="G37" s="117">
        <v>-17253.64</v>
      </c>
      <c r="H37" s="127" t="s">
        <v>41</v>
      </c>
      <c r="I37" s="117">
        <f t="shared" si="6"/>
        <v>17253.64</v>
      </c>
      <c r="J37" s="117"/>
      <c r="K37" s="199">
        <f t="shared" si="5"/>
        <v>-17253.64</v>
      </c>
      <c r="L37" s="225">
        <v>2010101000</v>
      </c>
      <c r="M37" s="117" t="s">
        <v>25</v>
      </c>
      <c r="N37" s="117"/>
      <c r="O37" s="117">
        <f t="shared" si="3"/>
        <v>17253.64</v>
      </c>
      <c r="P37" s="117"/>
      <c r="Q37" s="117">
        <f t="shared" si="7"/>
        <v>17253.64</v>
      </c>
      <c r="R37" s="117"/>
      <c r="S37" s="117"/>
      <c r="T37" s="108"/>
      <c r="U37" s="108"/>
      <c r="V37" s="108"/>
    </row>
    <row r="38" spans="1:22" x14ac:dyDescent="0.25">
      <c r="A38" s="115"/>
      <c r="B38" s="274">
        <v>5020402000</v>
      </c>
      <c r="C38" s="127" t="s">
        <v>40</v>
      </c>
      <c r="D38" s="242">
        <f>IFERROR(VLOOKUP(B38,'WORKING PAPER FC1'!$I$19:$J$31,2,FALSE),0)</f>
        <v>0</v>
      </c>
      <c r="E38" s="127"/>
      <c r="F38" s="242">
        <f>IFERROR(VLOOKUP(B38,'WORKING PAPER FC1'!$I$11:$J$12,2,FALSE),0)</f>
        <v>0</v>
      </c>
      <c r="G38" s="117">
        <f>-39124.6-'[7]ADAdj-APRGOP'!$BX$119-'[7]ADAdj-APRGOP'!$BX$120-'[7]ADAdj-APRGOP'!$BX$121-'[7]ADAdj-APRGOP'!$BX$122-'[7]ADAdj-APRGOP'!$BX$123-'[7]ADAdj-APRGOP'!$BX$136</f>
        <v>-82936.739999999991</v>
      </c>
      <c r="H38" s="116" t="s">
        <v>40</v>
      </c>
      <c r="I38" s="117">
        <f t="shared" si="6"/>
        <v>82936.739999999991</v>
      </c>
      <c r="J38" s="117"/>
      <c r="K38" s="199">
        <f t="shared" si="5"/>
        <v>-82936.739999999991</v>
      </c>
      <c r="L38" s="225">
        <v>2010101000</v>
      </c>
      <c r="M38" s="117" t="s">
        <v>25</v>
      </c>
      <c r="N38" s="117"/>
      <c r="O38" s="117">
        <f t="shared" si="3"/>
        <v>82936.739999999991</v>
      </c>
      <c r="P38" s="117"/>
      <c r="Q38" s="117">
        <f t="shared" si="7"/>
        <v>82936.739999999991</v>
      </c>
      <c r="R38" s="117"/>
      <c r="S38" s="117"/>
      <c r="T38" s="108"/>
      <c r="U38" s="108"/>
      <c r="V38" s="108"/>
    </row>
    <row r="39" spans="1:22" x14ac:dyDescent="0.25">
      <c r="A39" s="115"/>
      <c r="B39" s="274">
        <v>5020602000</v>
      </c>
      <c r="C39" s="127" t="s">
        <v>251</v>
      </c>
      <c r="D39" s="242">
        <f>IFERROR(VLOOKUP(B39,'WORKING PAPER FC1'!$I$19:$J$31,2,FALSE),0)</f>
        <v>0</v>
      </c>
      <c r="E39" s="127"/>
      <c r="F39" s="242">
        <f>IFERROR(VLOOKUP(B39,'WORKING PAPER FC1'!$I$11:$J$12,2,FALSE),0)</f>
        <v>0</v>
      </c>
      <c r="G39" s="117">
        <f>-'[9]ADAdj-APRGOP'!$O$1023</f>
        <v>-24000</v>
      </c>
      <c r="H39" s="127" t="s">
        <v>251</v>
      </c>
      <c r="I39" s="117">
        <f t="shared" si="6"/>
        <v>24000</v>
      </c>
      <c r="J39" s="117"/>
      <c r="K39" s="199">
        <f t="shared" si="5"/>
        <v>-24000</v>
      </c>
      <c r="L39" s="225">
        <v>2010101000</v>
      </c>
      <c r="M39" s="117" t="s">
        <v>25</v>
      </c>
      <c r="N39" s="117"/>
      <c r="O39" s="117">
        <f t="shared" si="3"/>
        <v>24000</v>
      </c>
      <c r="P39" s="117"/>
      <c r="Q39" s="117">
        <f t="shared" si="7"/>
        <v>24000</v>
      </c>
      <c r="R39" s="117"/>
      <c r="S39" s="117"/>
      <c r="T39" s="108"/>
      <c r="U39" s="108"/>
      <c r="V39" s="108"/>
    </row>
    <row r="40" spans="1:22" x14ac:dyDescent="0.25">
      <c r="A40" s="115"/>
      <c r="B40" s="274">
        <v>5029903000</v>
      </c>
      <c r="C40" s="127" t="s">
        <v>43</v>
      </c>
      <c r="D40" s="242">
        <f>IFERROR(VLOOKUP(B40,'WORKING PAPER FC1'!$I$19:$J$31,2,FALSE),0)</f>
        <v>0</v>
      </c>
      <c r="E40" s="257">
        <f>'WORKING PAPER FC1'!J14</f>
        <v>0</v>
      </c>
      <c r="F40" s="242">
        <f>IFERROR(VLOOKUP(B40,'WORKING PAPER FC1'!$I$11:$J$12,2,FALSE),0)</f>
        <v>0</v>
      </c>
      <c r="G40" s="117">
        <f>-'[12]MARCH 2023 arranged per ADA'!$EM$2882-'[9]ADAdj-APRGOP'!$O$1026-73868.75-505830-369149-147850-15200-96300+E40+'WORKING PAPER FC1'!T12+'WORKING PAPER FC1'!AC8-24500-10000-78992.5</f>
        <v>-1612040.25</v>
      </c>
      <c r="H40" s="116" t="s">
        <v>43</v>
      </c>
      <c r="I40" s="117">
        <f t="shared" si="6"/>
        <v>1612040.25</v>
      </c>
      <c r="J40" s="117"/>
      <c r="K40" s="199">
        <f t="shared" si="5"/>
        <v>-1612040.25</v>
      </c>
      <c r="L40" s="225">
        <v>2010101000</v>
      </c>
      <c r="M40" s="117" t="s">
        <v>25</v>
      </c>
      <c r="N40" s="117"/>
      <c r="O40" s="117">
        <f t="shared" si="3"/>
        <v>1612040.25</v>
      </c>
      <c r="P40" s="117"/>
      <c r="Q40" s="117">
        <f t="shared" si="7"/>
        <v>1612040.25</v>
      </c>
      <c r="R40" s="117"/>
      <c r="S40" s="117"/>
      <c r="T40" s="108"/>
      <c r="U40" s="108"/>
      <c r="V40" s="108"/>
    </row>
    <row r="41" spans="1:22" x14ac:dyDescent="0.25">
      <c r="A41" s="115"/>
      <c r="B41" s="274">
        <v>5020401000</v>
      </c>
      <c r="C41" s="127" t="s">
        <v>39</v>
      </c>
      <c r="D41" s="242">
        <f>IFERROR(VLOOKUP(B41,'WORKING PAPER FC1'!$I$19:$J$31,2,FALSE),0)</f>
        <v>0</v>
      </c>
      <c r="E41" s="127"/>
      <c r="F41" s="242">
        <f>IFERROR(VLOOKUP(B41,'WORKING PAPER FC1'!$I$11:$J$12,2,FALSE),0)</f>
        <v>0</v>
      </c>
      <c r="G41" s="117">
        <f>-'[10]JANUARY 2023'!$EL$598</f>
        <v>-48338.400000000001</v>
      </c>
      <c r="H41" s="127" t="s">
        <v>39</v>
      </c>
      <c r="I41" s="117">
        <f t="shared" si="6"/>
        <v>48338.400000000001</v>
      </c>
      <c r="J41" s="117"/>
      <c r="K41" s="199">
        <f t="shared" si="5"/>
        <v>-48338.400000000001</v>
      </c>
      <c r="L41" s="225">
        <v>2010101000</v>
      </c>
      <c r="M41" s="117" t="s">
        <v>25</v>
      </c>
      <c r="N41" s="117"/>
      <c r="O41" s="117">
        <f t="shared" si="3"/>
        <v>48338.400000000001</v>
      </c>
      <c r="P41" s="117"/>
      <c r="Q41" s="117">
        <f t="shared" si="7"/>
        <v>48338.400000000001</v>
      </c>
      <c r="R41" s="117"/>
      <c r="S41" s="117"/>
      <c r="T41" s="108"/>
      <c r="U41" s="108"/>
      <c r="V41" s="108"/>
    </row>
    <row r="42" spans="1:22" x14ac:dyDescent="0.25">
      <c r="A42" s="115"/>
      <c r="B42" s="274">
        <v>5020301001</v>
      </c>
      <c r="C42" s="127" t="s">
        <v>238</v>
      </c>
      <c r="D42" s="242">
        <f>IFERROR(VLOOKUP(B42,'WORKING PAPER FC1'!$I$19:$J$31,2,FALSE),0)</f>
        <v>0</v>
      </c>
      <c r="E42" s="127"/>
      <c r="F42" s="242">
        <f>IFERROR(VLOOKUP(B42,'WORKING PAPER FC1'!$I$11:$J$12,2,FALSE),0)</f>
        <v>0</v>
      </c>
      <c r="G42" s="117">
        <f>-'[10]JANUARY 2023'!$EL$591-'[10]JANUARY 2023'!$EL$603-'[10]JANUARY 2023'!$EL$604</f>
        <v>-17499.21</v>
      </c>
      <c r="H42" s="127" t="s">
        <v>238</v>
      </c>
      <c r="I42" s="117">
        <f t="shared" si="6"/>
        <v>17499.21</v>
      </c>
      <c r="J42" s="117"/>
      <c r="K42" s="199">
        <f t="shared" si="5"/>
        <v>-17499.21</v>
      </c>
      <c r="L42" s="225">
        <v>2010101000</v>
      </c>
      <c r="M42" s="117" t="s">
        <v>25</v>
      </c>
      <c r="N42" s="117"/>
      <c r="O42" s="117">
        <f t="shared" si="3"/>
        <v>17499.21</v>
      </c>
      <c r="P42" s="117"/>
      <c r="Q42" s="117">
        <f t="shared" si="7"/>
        <v>17499.21</v>
      </c>
      <c r="R42" s="117"/>
      <c r="S42" s="117"/>
      <c r="T42" s="108"/>
      <c r="U42" s="108"/>
      <c r="V42" s="108"/>
    </row>
    <row r="43" spans="1:22" x14ac:dyDescent="0.25">
      <c r="A43" s="115"/>
      <c r="B43" s="274">
        <v>5020305000</v>
      </c>
      <c r="C43" s="127" t="s">
        <v>31</v>
      </c>
      <c r="D43" s="242">
        <f>IFERROR(VLOOKUP(B43,'WORKING PAPER FC1'!$I$19:$J$31,2,FALSE),0)</f>
        <v>0</v>
      </c>
      <c r="E43" s="127"/>
      <c r="F43" s="242">
        <f>IFERROR(VLOOKUP(B43,'WORKING PAPER FC1'!$I$11:$J$12,2,FALSE),0)</f>
        <v>0</v>
      </c>
      <c r="G43" s="117">
        <f>-'[12]MARCH 2023 arranged per ADA'!$EM$2868+D43</f>
        <v>-845533.82</v>
      </c>
      <c r="H43" s="127" t="s">
        <v>31</v>
      </c>
      <c r="I43" s="117">
        <f t="shared" si="6"/>
        <v>845533.82</v>
      </c>
      <c r="J43" s="117"/>
      <c r="K43" s="199">
        <f t="shared" si="5"/>
        <v>-845533.82</v>
      </c>
      <c r="L43" s="225">
        <v>2010101000</v>
      </c>
      <c r="M43" s="117" t="s">
        <v>25</v>
      </c>
      <c r="N43" s="117"/>
      <c r="O43" s="117">
        <f t="shared" si="3"/>
        <v>845533.82</v>
      </c>
      <c r="P43" s="117"/>
      <c r="Q43" s="117">
        <f t="shared" si="7"/>
        <v>845533.82</v>
      </c>
      <c r="R43" s="117"/>
      <c r="S43" s="117"/>
      <c r="T43" s="108"/>
      <c r="U43" s="108"/>
      <c r="V43" s="108"/>
    </row>
    <row r="44" spans="1:22" ht="31.5" x14ac:dyDescent="0.25">
      <c r="A44" s="115"/>
      <c r="B44" s="274">
        <v>5020307000</v>
      </c>
      <c r="C44" s="127" t="s">
        <v>44</v>
      </c>
      <c r="D44" s="242"/>
      <c r="E44" s="127"/>
      <c r="F44" s="242">
        <f>IFERROR(VLOOKUP(B44,'WORKING PAPER FC1'!$I$11:$J$12,2,FALSE),0)</f>
        <v>0</v>
      </c>
      <c r="G44" s="117">
        <f>-'[12]MARCH 2023 arranged per ADA'!$EM$2869</f>
        <v>-449287.84</v>
      </c>
      <c r="H44" s="127" t="s">
        <v>44</v>
      </c>
      <c r="I44" s="117">
        <f t="shared" si="6"/>
        <v>449287.84</v>
      </c>
      <c r="J44" s="117"/>
      <c r="K44" s="199">
        <f t="shared" si="5"/>
        <v>-449287.84</v>
      </c>
      <c r="L44" s="225">
        <v>2010101000</v>
      </c>
      <c r="M44" s="117" t="s">
        <v>25</v>
      </c>
      <c r="N44" s="117"/>
      <c r="O44" s="117">
        <f t="shared" si="3"/>
        <v>449287.84</v>
      </c>
      <c r="P44" s="117"/>
      <c r="Q44" s="117">
        <f t="shared" si="7"/>
        <v>449287.84</v>
      </c>
      <c r="R44" s="117"/>
      <c r="S44" s="117"/>
      <c r="T44" s="108"/>
      <c r="U44" s="108"/>
      <c r="V44" s="108"/>
    </row>
    <row r="45" spans="1:22" ht="31.5" x14ac:dyDescent="0.25">
      <c r="A45" s="115"/>
      <c r="B45" s="274">
        <v>5020307000</v>
      </c>
      <c r="C45" s="127" t="s">
        <v>44</v>
      </c>
      <c r="D45" s="242">
        <f>IFERROR(VLOOKUP(B45,'WORKING PAPER FC1'!$I$19:$J$31,2,FALSE),0)</f>
        <v>0</v>
      </c>
      <c r="E45" s="127"/>
      <c r="F45" s="242"/>
      <c r="G45" s="117">
        <f>-'WORKING PAPER FC1'!L31</f>
        <v>150000</v>
      </c>
      <c r="H45" s="127" t="s">
        <v>44</v>
      </c>
      <c r="I45" s="117">
        <f t="shared" si="6"/>
        <v>-150000</v>
      </c>
      <c r="J45" s="117"/>
      <c r="K45" s="199">
        <f t="shared" si="5"/>
        <v>150000</v>
      </c>
      <c r="L45" s="225">
        <v>1040406000</v>
      </c>
      <c r="M45" s="194" t="s">
        <v>316</v>
      </c>
      <c r="N45" s="117"/>
      <c r="O45" s="117">
        <f t="shared" si="3"/>
        <v>-150000</v>
      </c>
      <c r="P45" s="117">
        <f>-O45</f>
        <v>150000</v>
      </c>
      <c r="Q45" s="117"/>
      <c r="R45" s="117"/>
      <c r="S45" s="117"/>
      <c r="T45" s="108"/>
      <c r="U45" s="108"/>
      <c r="V45" s="108"/>
    </row>
    <row r="46" spans="1:22" x14ac:dyDescent="0.25">
      <c r="A46" s="115"/>
      <c r="B46" s="274">
        <v>5020305000</v>
      </c>
      <c r="C46" s="127" t="s">
        <v>31</v>
      </c>
      <c r="D46" s="242"/>
      <c r="E46" s="127"/>
      <c r="F46" s="242">
        <f>IFERROR(VLOOKUP(B46,'WORKING PAPER FC1'!$I$11:$J$12,2,FALSE),0)</f>
        <v>0</v>
      </c>
      <c r="G46" s="117">
        <f>-'[10]JANUARY 2023'!$EL$227-'[10]JANUARY 2023'!$EL$588</f>
        <v>-20335.93</v>
      </c>
      <c r="H46" s="127" t="s">
        <v>31</v>
      </c>
      <c r="I46" s="117">
        <f t="shared" si="6"/>
        <v>20335.93</v>
      </c>
      <c r="J46" s="117"/>
      <c r="K46" s="199">
        <f t="shared" si="5"/>
        <v>-20335.93</v>
      </c>
      <c r="L46" s="225">
        <v>1010102000</v>
      </c>
      <c r="M46" s="194" t="s">
        <v>93</v>
      </c>
      <c r="N46" s="117"/>
      <c r="O46" s="117">
        <f t="shared" si="3"/>
        <v>20335.93</v>
      </c>
      <c r="P46" s="117">
        <f>-O46</f>
        <v>-20335.93</v>
      </c>
      <c r="Q46" s="117"/>
      <c r="R46" s="117"/>
      <c r="S46" s="117"/>
      <c r="T46" s="108"/>
      <c r="U46" s="108"/>
      <c r="V46" s="108"/>
    </row>
    <row r="47" spans="1:22" ht="27" customHeight="1" x14ac:dyDescent="0.25">
      <c r="A47" s="115"/>
      <c r="B47" s="274">
        <v>5020305000</v>
      </c>
      <c r="C47" s="127" t="s">
        <v>31</v>
      </c>
      <c r="D47" s="242"/>
      <c r="E47" s="127"/>
      <c r="F47" s="242"/>
      <c r="G47" s="117">
        <f>'WORKING PAPER FC1'!T21</f>
        <v>0</v>
      </c>
      <c r="H47" s="127" t="s">
        <v>31</v>
      </c>
      <c r="I47" s="117">
        <f>G47</f>
        <v>0</v>
      </c>
      <c r="J47" s="117"/>
      <c r="K47" s="199">
        <f>G47*-1</f>
        <v>0</v>
      </c>
      <c r="L47" s="225">
        <v>1040405000</v>
      </c>
      <c r="M47" s="194" t="s">
        <v>32</v>
      </c>
      <c r="N47" s="117"/>
      <c r="O47" s="117">
        <f>K47</f>
        <v>0</v>
      </c>
      <c r="P47" s="117">
        <f>-O47</f>
        <v>0</v>
      </c>
      <c r="Q47" s="117"/>
      <c r="R47" s="117"/>
      <c r="S47" s="117"/>
      <c r="T47" s="108"/>
      <c r="U47" s="108"/>
      <c r="V47" s="108"/>
    </row>
    <row r="48" spans="1:22" ht="31.5" x14ac:dyDescent="0.25">
      <c r="A48" s="115"/>
      <c r="B48" s="274">
        <v>5020307000</v>
      </c>
      <c r="C48" s="127" t="s">
        <v>44</v>
      </c>
      <c r="D48" s="242"/>
      <c r="E48" s="127"/>
      <c r="F48" s="242">
        <f>IFERROR(VLOOKUP(B48,'WORKING PAPER FC1'!$I$11:$J$12,2,FALSE),0)</f>
        <v>0</v>
      </c>
      <c r="G48" s="117">
        <f>-'[10]JANUARY 2023'!$EL$229-'[10]JANUARY 2023'!$EL$589</f>
        <v>-6292.49</v>
      </c>
      <c r="H48" s="127" t="s">
        <v>44</v>
      </c>
      <c r="I48" s="117">
        <f t="shared" si="6"/>
        <v>6292.49</v>
      </c>
      <c r="J48" s="117"/>
      <c r="K48" s="199">
        <f t="shared" si="5"/>
        <v>-6292.49</v>
      </c>
      <c r="L48" s="225">
        <v>1010102000</v>
      </c>
      <c r="M48" s="194" t="s">
        <v>93</v>
      </c>
      <c r="N48" s="117"/>
      <c r="O48" s="117">
        <f t="shared" si="3"/>
        <v>6292.49</v>
      </c>
      <c r="P48" s="117">
        <f>O48*-1</f>
        <v>-6292.49</v>
      </c>
      <c r="Q48" s="117"/>
      <c r="R48" s="117"/>
      <c r="S48" s="117"/>
      <c r="T48" s="108"/>
      <c r="U48" s="108"/>
      <c r="V48" s="108"/>
    </row>
    <row r="49" spans="1:22" ht="29.25" customHeight="1" x14ac:dyDescent="0.25">
      <c r="A49" s="115"/>
      <c r="B49" s="274">
        <v>5021199000</v>
      </c>
      <c r="C49" s="127" t="s">
        <v>53</v>
      </c>
      <c r="D49" s="242">
        <f>IFERROR(VLOOKUP(B49,'WORKING PAPER FC1'!$I$19:$J$31,2,FALSE),0)</f>
        <v>0</v>
      </c>
      <c r="E49" s="127"/>
      <c r="F49" s="242">
        <f>IFERROR(VLOOKUP(B49,'WORKING PAPER FC1'!$I$11:$J$12,2,FALSE),0)</f>
        <v>0</v>
      </c>
      <c r="G49" s="117">
        <f>-'[10]JANUARY 2023'!$EL$605-95550+'WORKING PAPER FC1'!AC48+'WORKING PAPER FC1'!AC49+335968.94</f>
        <v>230563.94</v>
      </c>
      <c r="H49" s="127" t="s">
        <v>53</v>
      </c>
      <c r="I49" s="117">
        <f t="shared" si="6"/>
        <v>-230563.94</v>
      </c>
      <c r="J49" s="117"/>
      <c r="K49" s="199">
        <f>G49</f>
        <v>230563.94</v>
      </c>
      <c r="L49" s="225">
        <v>1010102000</v>
      </c>
      <c r="M49" s="194" t="s">
        <v>93</v>
      </c>
      <c r="N49" s="117"/>
      <c r="O49" s="117">
        <f t="shared" si="3"/>
        <v>-230563.94</v>
      </c>
      <c r="P49" s="117">
        <f>O49*-1</f>
        <v>230563.94</v>
      </c>
      <c r="Q49" s="117"/>
      <c r="R49" s="117"/>
      <c r="S49" s="117"/>
      <c r="T49" s="108"/>
      <c r="U49" s="108"/>
      <c r="V49" s="108"/>
    </row>
    <row r="50" spans="1:22" ht="47.25" x14ac:dyDescent="0.25">
      <c r="A50" s="115"/>
      <c r="B50" s="274">
        <v>5021306001</v>
      </c>
      <c r="C50" s="127" t="s">
        <v>57</v>
      </c>
      <c r="D50" s="242">
        <f>IFERROR(VLOOKUP(B50,'WORKING PAPER FC1'!$I$19:$J$31,2,FALSE),0)</f>
        <v>0</v>
      </c>
      <c r="E50" s="127"/>
      <c r="F50" s="242">
        <f>IFERROR(VLOOKUP(B50,'WORKING PAPER FC1'!$I$11:$J$12,2,FALSE),0)</f>
        <v>0</v>
      </c>
      <c r="G50" s="117">
        <f>-'[10]JANUARY 2023'!$EL$601-'[11]FEBRUARY 2023 SORT REV'!$EL$746-48000-68780-75000+0.01</f>
        <v>-195971.49</v>
      </c>
      <c r="H50" s="127" t="s">
        <v>57</v>
      </c>
      <c r="I50" s="117">
        <f t="shared" si="6"/>
        <v>195971.49</v>
      </c>
      <c r="J50" s="117"/>
      <c r="K50" s="199">
        <f t="shared" si="5"/>
        <v>-195971.49</v>
      </c>
      <c r="L50" s="225">
        <v>1010102000</v>
      </c>
      <c r="M50" s="194" t="s">
        <v>93</v>
      </c>
      <c r="N50" s="117"/>
      <c r="O50" s="117">
        <f t="shared" si="3"/>
        <v>195971.49</v>
      </c>
      <c r="P50" s="117">
        <f>O50*-1</f>
        <v>-195971.49</v>
      </c>
      <c r="Q50" s="117"/>
      <c r="R50" s="117"/>
      <c r="S50" s="117"/>
      <c r="T50" s="108"/>
      <c r="U50" s="108"/>
      <c r="V50" s="108"/>
    </row>
    <row r="51" spans="1:22" ht="31.5" x14ac:dyDescent="0.25">
      <c r="A51" s="115"/>
      <c r="B51" s="274">
        <v>5029999099</v>
      </c>
      <c r="C51" s="127" t="s">
        <v>59</v>
      </c>
      <c r="D51" s="242">
        <f>IFERROR(VLOOKUP(B51,'WORKING PAPER FC1'!$I$19:$J$31,2,FALSE),0)</f>
        <v>0</v>
      </c>
      <c r="E51" s="127"/>
      <c r="F51" s="242">
        <f>IFERROR(VLOOKUP(B51,'WORKING PAPER FC1'!$I$11:$J$12,2,FALSE),0)</f>
        <v>0</v>
      </c>
      <c r="G51" s="117">
        <f>-'[10]JANUARY 2023'!$EL$228-'[10]JANUARY 2023'!$EL$592-'[10]JANUARY 2023'!$EL$602-'[10]JANUARY 2023'!$EL$606-'[11]FEBRUARY 2023 SORT REV'!$EL$748-'[11]FEBRUARY 2023 SORT REV'!$EL$768-7031.25-169142-41000-11165.55-18019+200</f>
        <v>-318624.15999999997</v>
      </c>
      <c r="H51" s="127" t="s">
        <v>59</v>
      </c>
      <c r="I51" s="117">
        <f t="shared" si="6"/>
        <v>318624.15999999997</v>
      </c>
      <c r="J51" s="117"/>
      <c r="K51" s="199">
        <f t="shared" si="5"/>
        <v>-318624.15999999997</v>
      </c>
      <c r="L51" s="225">
        <v>1010102000</v>
      </c>
      <c r="M51" s="194" t="s">
        <v>93</v>
      </c>
      <c r="N51" s="117"/>
      <c r="O51" s="117">
        <f t="shared" si="3"/>
        <v>318624.15999999997</v>
      </c>
      <c r="P51" s="117">
        <f>O51*-1</f>
        <v>-318624.15999999997</v>
      </c>
      <c r="Q51" s="117"/>
      <c r="R51" s="117"/>
      <c r="S51" s="117"/>
      <c r="T51" s="108"/>
      <c r="U51" s="108"/>
      <c r="V51" s="108"/>
    </row>
    <row r="52" spans="1:22" x14ac:dyDescent="0.25">
      <c r="A52" s="115"/>
      <c r="B52" s="274">
        <v>5020301001</v>
      </c>
      <c r="C52" s="127" t="s">
        <v>238</v>
      </c>
      <c r="D52" s="242">
        <f>IFERROR(VLOOKUP(B52,'WORKING PAPER FC1'!$I$19:$J$31,2,FALSE),0)</f>
        <v>0</v>
      </c>
      <c r="E52" s="127"/>
      <c r="F52" s="242">
        <f>IFERROR(VLOOKUP(B52,'WORKING PAPER FC1'!$I$11:$J$12,2,FALSE),0)</f>
        <v>0</v>
      </c>
      <c r="G52" s="117">
        <f>-'[11]FEBRUARY 2023 SORT REV'!$EL$747</f>
        <v>-850</v>
      </c>
      <c r="H52" s="127" t="s">
        <v>238</v>
      </c>
      <c r="I52" s="117">
        <f t="shared" si="6"/>
        <v>850</v>
      </c>
      <c r="J52" s="117"/>
      <c r="K52" s="199">
        <f t="shared" si="5"/>
        <v>-850</v>
      </c>
      <c r="L52" s="225">
        <v>1010102000</v>
      </c>
      <c r="M52" s="194" t="s">
        <v>93</v>
      </c>
      <c r="N52" s="117"/>
      <c r="O52" s="117">
        <f t="shared" si="3"/>
        <v>850</v>
      </c>
      <c r="P52" s="117">
        <f>-O52</f>
        <v>-850</v>
      </c>
      <c r="Q52" s="117"/>
      <c r="R52" s="117"/>
      <c r="S52" s="117"/>
      <c r="T52" s="108"/>
      <c r="U52" s="108"/>
      <c r="V52" s="108"/>
    </row>
    <row r="53" spans="1:22" ht="47.25" x14ac:dyDescent="0.25">
      <c r="A53" s="115"/>
      <c r="B53" s="274">
        <v>5020321002</v>
      </c>
      <c r="C53" s="127" t="s">
        <v>250</v>
      </c>
      <c r="D53" s="242">
        <f>IFERROR(VLOOKUP(B53,'WORKING PAPER FC1'!$I$19:$J$31,2,FALSE),0)</f>
        <v>0</v>
      </c>
      <c r="E53" s="127"/>
      <c r="F53" s="242">
        <f>IFERROR(VLOOKUP(B53,'WORKING PAPER FC1'!$I$11:$J$12,2,FALSE),0)</f>
        <v>0</v>
      </c>
      <c r="G53" s="117">
        <f>-'[9]ADAdj-APRGOP'!$O$1021-1995-745224-14150-447191+D53+206723</f>
        <v>-1122826</v>
      </c>
      <c r="H53" s="127" t="s">
        <v>250</v>
      </c>
      <c r="I53" s="117">
        <f t="shared" si="6"/>
        <v>1122826</v>
      </c>
      <c r="J53" s="117"/>
      <c r="K53" s="199">
        <f>G53</f>
        <v>-1122826</v>
      </c>
      <c r="L53" s="225">
        <v>1040502000</v>
      </c>
      <c r="M53" s="117" t="s">
        <v>47</v>
      </c>
      <c r="N53" s="117"/>
      <c r="O53" s="117">
        <f t="shared" si="3"/>
        <v>1122826</v>
      </c>
      <c r="P53" s="117">
        <f>-O53</f>
        <v>-1122826</v>
      </c>
      <c r="Q53" s="117"/>
      <c r="R53" s="117"/>
      <c r="S53" s="117"/>
      <c r="T53" s="108"/>
      <c r="U53" s="108"/>
      <c r="V53" s="108"/>
    </row>
    <row r="54" spans="1:22" ht="47.25" x14ac:dyDescent="0.25">
      <c r="A54" s="115"/>
      <c r="B54" s="274">
        <v>5020321002</v>
      </c>
      <c r="C54" s="127" t="s">
        <v>250</v>
      </c>
      <c r="D54" s="242"/>
      <c r="E54" s="127"/>
      <c r="F54" s="242"/>
      <c r="G54" s="117">
        <v>-206723</v>
      </c>
      <c r="H54" s="127" t="s">
        <v>250</v>
      </c>
      <c r="I54" s="117">
        <f t="shared" si="6"/>
        <v>206723</v>
      </c>
      <c r="J54" s="117"/>
      <c r="K54" s="199">
        <f>G54</f>
        <v>-206723</v>
      </c>
      <c r="L54" s="225">
        <v>2010101000</v>
      </c>
      <c r="M54" s="117" t="s">
        <v>25</v>
      </c>
      <c r="N54" s="117"/>
      <c r="O54" s="117">
        <f t="shared" si="3"/>
        <v>206723</v>
      </c>
      <c r="P54" s="117">
        <f>-O54</f>
        <v>-206723</v>
      </c>
      <c r="Q54" s="117"/>
      <c r="R54" s="117"/>
      <c r="S54" s="117"/>
      <c r="T54" s="108"/>
      <c r="U54" s="108"/>
      <c r="V54" s="108"/>
    </row>
    <row r="55" spans="1:22" ht="15" customHeight="1" x14ac:dyDescent="0.25">
      <c r="A55" s="115"/>
      <c r="B55" s="274">
        <v>5021199000</v>
      </c>
      <c r="C55" s="127" t="s">
        <v>53</v>
      </c>
      <c r="D55" s="242">
        <f>IFERROR(VLOOKUP(B55,'WORKING PAPER FC1'!$I$19:$J$31,2,FALSE),0)</f>
        <v>0</v>
      </c>
      <c r="E55" s="127"/>
      <c r="F55" s="242">
        <f>IFERROR(VLOOKUP(B55,'WORKING PAPER FC1'!$I$11:$J$12,2,FALSE),0)</f>
        <v>0</v>
      </c>
      <c r="G55" s="117">
        <f>-10000-'[10]JANUARY 2023'!$EL$240-'[10]JANUARY 2023'!$EL$241-'[10]JANUARY 2023'!$EL$242-'[10]JANUARY 2023'!$EL$319-'[10]JANUARY 2023'!$EL$321-'[10]JANUARY 2023'!$EL$324-'[10]JANUARY 2023'!$EL$325-'[10]JANUARY 2023'!$EL$326-'[10]JANUARY 2023'!$EL$327-'[10]JANUARY 2023'!$EL$135-'[10]JANUARY 2023'!$EL$168-'[10]JANUARY 2023'!$EL$221-'[10]JANUARY 2023'!$EL$237+'[10]JANUARY 2023'!$AU$623-'[7]ADAdj-APRGOP'!$BX$149-'[7]ADAdj-APRGOP'!$BX$198-'[11]FEBRUARY 2023 SORT REV'!$EL$5-'[11]FEBRUARY 2023 SORT REV'!$EL$96-'[11]FEBRUARY 2023 SORT REV'!$EL$97-'[11]FEBRUARY 2023 SORT REV'!$EL$139-'[11]FEBRUARY 2023 SORT REV'!$EL$140-'[11]FEBRUARY 2023 SORT REV'!$EL$141-'[11]FEBRUARY 2023 SORT REV'!$EL$142-'[11]FEBRUARY 2023 SORT REV'!$EL$146-'[11]FEBRUARY 2023 SORT REV'!$EL$159-'[11]FEBRUARY 2023 SORT REV'!$EL$160-'[11]FEBRUARY 2023 SORT REV'!$EL$207-'[11]FEBRUARY 2023 SORT REV'!$EL$208-'[11]FEBRUARY 2023 SORT REV'!$EL$232-'[11]FEBRUARY 2023 SORT REV'!$EL$233-'[11]FEBRUARY 2023 SORT REV'!$EL$445-'[11]FEBRUARY 2023 SORT REV'!$EL$456-'[8]ADAdj-APRGOP'!$BX$21-'[8]ADAdj-APRGOP'!$BX$339-'[12]MARCH 2023 arranged per ADA'!$EM$2875+42276.82</f>
        <v>-959984.71999999986</v>
      </c>
      <c r="H55" s="116" t="s">
        <v>53</v>
      </c>
      <c r="I55" s="117">
        <f t="shared" si="6"/>
        <v>951144.11999999988</v>
      </c>
      <c r="J55" s="117">
        <f>'[10]JANUARY 2023'!$AU$623</f>
        <v>8840.6000000000022</v>
      </c>
      <c r="K55" s="199">
        <f>-I55-J55</f>
        <v>-959984.71999999986</v>
      </c>
      <c r="L55" s="225">
        <v>2010101000</v>
      </c>
      <c r="M55" s="117" t="s">
        <v>25</v>
      </c>
      <c r="N55" s="117">
        <f>J55</f>
        <v>8840.6000000000022</v>
      </c>
      <c r="O55" s="117">
        <f t="shared" si="3"/>
        <v>951144.11999999988</v>
      </c>
      <c r="P55" s="117"/>
      <c r="Q55" s="117">
        <f>O55+N55</f>
        <v>959984.71999999986</v>
      </c>
      <c r="R55" s="117"/>
      <c r="S55" s="117"/>
      <c r="T55" s="108"/>
      <c r="U55" s="108"/>
      <c r="V55" s="108"/>
    </row>
    <row r="56" spans="1:22" ht="47.25" x14ac:dyDescent="0.25">
      <c r="A56" s="115"/>
      <c r="B56" s="274">
        <v>5021304001</v>
      </c>
      <c r="C56" s="127" t="s">
        <v>56</v>
      </c>
      <c r="D56" s="242">
        <f>IFERROR(VLOOKUP(B56,'WORKING PAPER FC1'!$I$19:$J$31,2,FALSE),0)</f>
        <v>0</v>
      </c>
      <c r="E56" s="127"/>
      <c r="F56" s="242">
        <f>IFERROR(VLOOKUP(B56,'WORKING PAPER FC1'!$I$11:$J$12,2,FALSE),0)</f>
        <v>0</v>
      </c>
      <c r="G56" s="117">
        <f>-'[12]MARCH 2023 arranged per ADA'!$EM$2878</f>
        <v>-519632.75</v>
      </c>
      <c r="H56" s="127" t="s">
        <v>56</v>
      </c>
      <c r="I56" s="117">
        <f t="shared" si="6"/>
        <v>519632.75</v>
      </c>
      <c r="J56" s="117"/>
      <c r="K56" s="199">
        <f t="shared" ref="K56" si="8">G56</f>
        <v>-519632.75</v>
      </c>
      <c r="L56" s="225">
        <v>2010101000</v>
      </c>
      <c r="M56" s="117" t="s">
        <v>25</v>
      </c>
      <c r="N56" s="117"/>
      <c r="O56" s="117">
        <f t="shared" si="3"/>
        <v>519632.75</v>
      </c>
      <c r="P56" s="117"/>
      <c r="Q56" s="117">
        <f>O56</f>
        <v>519632.75</v>
      </c>
      <c r="R56" s="117"/>
      <c r="S56" s="117"/>
      <c r="T56" s="108"/>
      <c r="U56" s="108"/>
      <c r="V56" s="108"/>
    </row>
    <row r="57" spans="1:22" ht="47.25" x14ac:dyDescent="0.25">
      <c r="A57" s="115"/>
      <c r="B57" s="274">
        <v>5021306001</v>
      </c>
      <c r="C57" s="127" t="s">
        <v>57</v>
      </c>
      <c r="D57" s="242">
        <f>IFERROR(VLOOKUP(B57,'WORKING PAPER FC1'!$I$19:$J$31,2,FALSE),0)</f>
        <v>0</v>
      </c>
      <c r="E57" s="127"/>
      <c r="F57" s="242">
        <f>IFERROR(VLOOKUP(B57,'WORKING PAPER FC1'!$I$11:$J$12,2,FALSE),0)</f>
        <v>0</v>
      </c>
      <c r="G57" s="117">
        <f>-'[12]MARCH 2023 arranged per ADA'!$EM$2879-'[9]ADAdj-APRGOP'!$O$1024+'[17]CRJ FC1'!$G$132-2283.48</f>
        <v>-176111.42</v>
      </c>
      <c r="H57" s="116" t="s">
        <v>57</v>
      </c>
      <c r="I57" s="117">
        <f t="shared" si="6"/>
        <v>150417.37000000002</v>
      </c>
      <c r="J57" s="117">
        <f>'[17]CRJ FC1'!$G$132</f>
        <v>25694.05</v>
      </c>
      <c r="K57" s="199">
        <f>-I57-J57</f>
        <v>-176111.42</v>
      </c>
      <c r="L57" s="225">
        <v>2010101000</v>
      </c>
      <c r="M57" s="117" t="s">
        <v>25</v>
      </c>
      <c r="N57" s="117">
        <f>J57</f>
        <v>25694.05</v>
      </c>
      <c r="O57" s="117">
        <f t="shared" si="3"/>
        <v>150417.37000000002</v>
      </c>
      <c r="P57" s="117"/>
      <c r="Q57" s="117">
        <f>O57+N57</f>
        <v>176111.42</v>
      </c>
      <c r="R57" s="117"/>
      <c r="S57" s="117"/>
      <c r="T57" s="108"/>
      <c r="U57" s="108"/>
      <c r="V57" s="108"/>
    </row>
    <row r="58" spans="1:22" ht="31.5" x14ac:dyDescent="0.25">
      <c r="A58" s="115"/>
      <c r="B58" s="274">
        <v>5020309000</v>
      </c>
      <c r="C58" s="127" t="s">
        <v>37</v>
      </c>
      <c r="D58" s="242">
        <f>IFERROR(VLOOKUP(B58,'WORKING PAPER FC1'!$I$19:$J$31,2,FALSE),0)</f>
        <v>0</v>
      </c>
      <c r="E58" s="127"/>
      <c r="F58" s="242">
        <f>IFERROR(VLOOKUP(B58,'WORKING PAPER FC1'!$I$11:$J$12,2,FALSE),0)</f>
        <v>0</v>
      </c>
      <c r="G58" s="117">
        <f>-'[12]MARCH 2023 arranged per ADA'!$EM$2870-32509.69</f>
        <v>-218527.07</v>
      </c>
      <c r="H58" s="127" t="s">
        <v>37</v>
      </c>
      <c r="I58" s="117">
        <f t="shared" si="6"/>
        <v>218527.07</v>
      </c>
      <c r="J58" s="117"/>
      <c r="K58" s="199">
        <f t="shared" ref="K58:K80" si="9">G58</f>
        <v>-218527.07</v>
      </c>
      <c r="L58" s="225">
        <v>2010101000</v>
      </c>
      <c r="M58" s="117" t="s">
        <v>25</v>
      </c>
      <c r="N58" s="117"/>
      <c r="O58" s="117">
        <f t="shared" si="3"/>
        <v>218527.07</v>
      </c>
      <c r="P58" s="117"/>
      <c r="Q58" s="117">
        <f>O58-N58</f>
        <v>218527.07</v>
      </c>
      <c r="R58" s="117"/>
      <c r="S58" s="117"/>
      <c r="T58" s="108"/>
      <c r="U58" s="108"/>
      <c r="V58" s="108"/>
    </row>
    <row r="59" spans="1:22" ht="47.25" x14ac:dyDescent="0.25">
      <c r="A59" s="115"/>
      <c r="B59" s="274">
        <v>5020321003</v>
      </c>
      <c r="C59" s="127" t="s">
        <v>49</v>
      </c>
      <c r="D59" s="242">
        <f>IFERROR(VLOOKUP(B59,'WORKING PAPER FC1'!$I$19:$J$31,2,FALSE),0)</f>
        <v>0</v>
      </c>
      <c r="E59" s="127"/>
      <c r="F59" s="242">
        <f>IFERROR(VLOOKUP(B59,'WORKING PAPER FC1'!$I$11:$J$12,2,FALSE),0)</f>
        <v>0</v>
      </c>
      <c r="G59" s="117">
        <f>-'[12]MARCH 2023 arranged per ADA'!$EM$2871-37595-610703.71-3890-1658721.82+D59+'WORKING PAPER FC1'!T20+'WORKING PAPER FC1'!AC13</f>
        <v>-2329306.5300000003</v>
      </c>
      <c r="H59" s="127" t="s">
        <v>49</v>
      </c>
      <c r="I59" s="117">
        <f t="shared" si="6"/>
        <v>2329306.5300000003</v>
      </c>
      <c r="J59" s="117"/>
      <c r="K59" s="199">
        <f t="shared" si="9"/>
        <v>-2329306.5300000003</v>
      </c>
      <c r="L59" s="225">
        <v>1040503000</v>
      </c>
      <c r="M59" s="128" t="s">
        <v>105</v>
      </c>
      <c r="N59" s="117"/>
      <c r="O59" s="117">
        <f t="shared" si="3"/>
        <v>2329306.5300000003</v>
      </c>
      <c r="P59" s="117">
        <f>-O59</f>
        <v>-2329306.5300000003</v>
      </c>
      <c r="Q59" s="117"/>
      <c r="R59" s="117"/>
      <c r="S59" s="117"/>
      <c r="T59" s="108"/>
      <c r="U59" s="108"/>
      <c r="V59" s="108"/>
    </row>
    <row r="60" spans="1:22" ht="47.25" x14ac:dyDescent="0.25">
      <c r="A60" s="115"/>
      <c r="B60" s="274">
        <v>5020308000</v>
      </c>
      <c r="C60" s="127" t="s">
        <v>260</v>
      </c>
      <c r="D60" s="242">
        <f>IFERROR(VLOOKUP(B60,'WORKING PAPER FC1'!$I$19:$J$31,2,FALSE),0)</f>
        <v>0</v>
      </c>
      <c r="E60" s="127"/>
      <c r="F60" s="242">
        <f>IFERROR(VLOOKUP(B60,'WORKING PAPER FC1'!$I$11:$J$12,2,FALSE),0)</f>
        <v>0</v>
      </c>
      <c r="G60" s="112">
        <v>-276425.43</v>
      </c>
      <c r="H60" s="127" t="s">
        <v>49</v>
      </c>
      <c r="I60" s="117">
        <f t="shared" si="6"/>
        <v>276425.43</v>
      </c>
      <c r="J60" s="117"/>
      <c r="K60" s="199">
        <f t="shared" si="9"/>
        <v>-276425.43</v>
      </c>
      <c r="L60" s="225">
        <v>2010101000</v>
      </c>
      <c r="M60" s="117" t="s">
        <v>25</v>
      </c>
      <c r="N60" s="117"/>
      <c r="O60" s="117">
        <f t="shared" si="3"/>
        <v>276425.43</v>
      </c>
      <c r="P60" s="117"/>
      <c r="Q60" s="117">
        <f>O60-N60</f>
        <v>276425.43</v>
      </c>
      <c r="R60" s="117"/>
      <c r="S60" s="117"/>
      <c r="T60" s="108"/>
      <c r="U60" s="108"/>
      <c r="V60" s="108"/>
    </row>
    <row r="61" spans="1:22" ht="31.5" x14ac:dyDescent="0.25">
      <c r="A61" s="115"/>
      <c r="B61" s="274">
        <v>5029999099</v>
      </c>
      <c r="C61" s="127" t="s">
        <v>59</v>
      </c>
      <c r="D61" s="242">
        <f>IFERROR(VLOOKUP(B61,'WORKING PAPER FC1'!$I$19:$J$31,2,FALSE),0)</f>
        <v>0</v>
      </c>
      <c r="E61" s="127"/>
      <c r="F61" s="242">
        <f>IFERROR(VLOOKUP(B61,'WORKING PAPER FC1'!$I$11:$J$12,2,FALSE),0)</f>
        <v>0</v>
      </c>
      <c r="G61" s="117">
        <f>-118866.16-'[12]MARCH 2023 arranged per ADA'!$EM$2881-'[12]MARCH 2023 arranged per ADA'!$EM$2883-'[9]ADAdj-APRGOP'!$O$1025-'[9]ADAdj-APRGOP'!$O$1027-7150-60000</f>
        <v>-1166990.3400000001</v>
      </c>
      <c r="H61" s="116" t="s">
        <v>59</v>
      </c>
      <c r="I61" s="117">
        <f t="shared" si="6"/>
        <v>1166990.3400000001</v>
      </c>
      <c r="J61" s="117"/>
      <c r="K61" s="199">
        <f t="shared" si="9"/>
        <v>-1166990.3400000001</v>
      </c>
      <c r="L61" s="225">
        <v>2010101000</v>
      </c>
      <c r="M61" s="117" t="s">
        <v>25</v>
      </c>
      <c r="N61" s="117"/>
      <c r="O61" s="117">
        <f t="shared" si="3"/>
        <v>1166990.3400000001</v>
      </c>
      <c r="P61" s="117"/>
      <c r="Q61" s="117">
        <f>O61</f>
        <v>1166990.3400000001</v>
      </c>
      <c r="R61" s="117"/>
      <c r="S61" s="117"/>
      <c r="T61" s="108"/>
      <c r="U61" s="108"/>
      <c r="V61" s="108"/>
    </row>
    <row r="62" spans="1:22" x14ac:dyDescent="0.25">
      <c r="A62" s="115"/>
      <c r="B62" s="274">
        <v>5029901000</v>
      </c>
      <c r="C62" s="127" t="s">
        <v>173</v>
      </c>
      <c r="D62" s="242">
        <f>IFERROR(VLOOKUP(B62,'WORKING PAPER FC1'!$I$19:$J$31,2,FALSE),0)</f>
        <v>0</v>
      </c>
      <c r="E62" s="127"/>
      <c r="F62" s="242">
        <f>IFERROR(VLOOKUP(B62,'WORKING PAPER FC1'!$I$11:$J$12,2,FALSE),0)</f>
        <v>0</v>
      </c>
      <c r="G62" s="117">
        <f>-50000-221000-239000-74850</f>
        <v>-584850</v>
      </c>
      <c r="H62" s="127" t="s">
        <v>173</v>
      </c>
      <c r="I62" s="117">
        <f t="shared" si="6"/>
        <v>584850</v>
      </c>
      <c r="J62" s="117"/>
      <c r="K62" s="199">
        <f t="shared" si="9"/>
        <v>-584850</v>
      </c>
      <c r="L62" s="225">
        <v>2010101000</v>
      </c>
      <c r="M62" s="117" t="s">
        <v>25</v>
      </c>
      <c r="N62" s="117"/>
      <c r="O62" s="117">
        <f t="shared" si="3"/>
        <v>584850</v>
      </c>
      <c r="P62" s="117"/>
      <c r="Q62" s="117">
        <f>O62</f>
        <v>584850</v>
      </c>
      <c r="R62" s="117"/>
      <c r="S62" s="117"/>
      <c r="T62" s="108"/>
      <c r="U62" s="108"/>
      <c r="V62" s="108"/>
    </row>
    <row r="63" spans="1:22" x14ac:dyDescent="0.25">
      <c r="A63" s="115"/>
      <c r="B63" s="274">
        <v>5020306000</v>
      </c>
      <c r="C63" s="127" t="s">
        <v>256</v>
      </c>
      <c r="D63" s="242"/>
      <c r="E63" s="127"/>
      <c r="F63" s="242">
        <f>IFERROR(VLOOKUP(B63,'WORKING PAPER FC1'!$I$11:$J$12,2,FALSE),0)</f>
        <v>0</v>
      </c>
      <c r="G63" s="117">
        <f>-580752.5</f>
        <v>-580752.5</v>
      </c>
      <c r="H63" s="127" t="s">
        <v>256</v>
      </c>
      <c r="I63" s="117">
        <f t="shared" si="6"/>
        <v>580752.5</v>
      </c>
      <c r="J63" s="117"/>
      <c r="K63" s="199">
        <f t="shared" si="9"/>
        <v>-580752.5</v>
      </c>
      <c r="L63" s="225">
        <v>2010101000</v>
      </c>
      <c r="M63" s="117" t="s">
        <v>25</v>
      </c>
      <c r="N63" s="117"/>
      <c r="O63" s="117">
        <f t="shared" si="3"/>
        <v>580752.5</v>
      </c>
      <c r="P63" s="117"/>
      <c r="Q63" s="117">
        <f>O63</f>
        <v>580752.5</v>
      </c>
      <c r="R63" s="117"/>
      <c r="S63" s="117"/>
      <c r="T63" s="108"/>
      <c r="U63" s="234" t="s">
        <v>257</v>
      </c>
      <c r="V63" s="108"/>
    </row>
    <row r="64" spans="1:22" x14ac:dyDescent="0.25">
      <c r="A64" s="115"/>
      <c r="B64" s="274">
        <v>5020503000</v>
      </c>
      <c r="C64" s="127" t="s">
        <v>42</v>
      </c>
      <c r="D64" s="242">
        <f>IFERROR(VLOOKUP(B64,'WORKING PAPER FC1'!$I$19:$J$31,2,FALSE),0)</f>
        <v>0</v>
      </c>
      <c r="E64" s="127"/>
      <c r="F64" s="242">
        <f>IFERROR(VLOOKUP(B64,'WORKING PAPER FC1'!$I$11:$J$12,2,FALSE),0)</f>
        <v>0</v>
      </c>
      <c r="G64" s="117">
        <f>-12907.78</f>
        <v>-12907.78</v>
      </c>
      <c r="H64" s="127" t="s">
        <v>42</v>
      </c>
      <c r="I64" s="117">
        <f t="shared" si="6"/>
        <v>12907.78</v>
      </c>
      <c r="J64" s="117"/>
      <c r="K64" s="199">
        <f t="shared" si="9"/>
        <v>-12907.78</v>
      </c>
      <c r="L64" s="225">
        <v>2010101000</v>
      </c>
      <c r="M64" s="117" t="s">
        <v>25</v>
      </c>
      <c r="N64" s="117"/>
      <c r="O64" s="117">
        <f t="shared" si="3"/>
        <v>12907.78</v>
      </c>
      <c r="P64" s="117"/>
      <c r="Q64" s="117">
        <f>O64</f>
        <v>12907.78</v>
      </c>
      <c r="R64" s="117"/>
      <c r="S64" s="117"/>
      <c r="T64" s="108"/>
      <c r="U64" s="234"/>
      <c r="V64" s="108"/>
    </row>
    <row r="65" spans="1:22" ht="31.5" x14ac:dyDescent="0.25">
      <c r="A65" s="115"/>
      <c r="B65" s="274">
        <v>5029905003</v>
      </c>
      <c r="C65" s="127" t="s">
        <v>258</v>
      </c>
      <c r="D65" s="242">
        <f>IFERROR(VLOOKUP(B65,'WORKING PAPER FC1'!$I$19:$J$31,2,FALSE),0)</f>
        <v>0</v>
      </c>
      <c r="E65" s="127"/>
      <c r="F65" s="242">
        <f>IFERROR(VLOOKUP(B65,'WORKING PAPER FC1'!$I$11:$J$12,2,FALSE),0)</f>
        <v>0</v>
      </c>
      <c r="G65" s="117">
        <f>-1037350</f>
        <v>-1037350</v>
      </c>
      <c r="H65" s="127" t="s">
        <v>258</v>
      </c>
      <c r="I65" s="117">
        <f t="shared" si="6"/>
        <v>1037350</v>
      </c>
      <c r="J65" s="117"/>
      <c r="K65" s="199">
        <f t="shared" si="9"/>
        <v>-1037350</v>
      </c>
      <c r="L65" s="225">
        <v>2010101000</v>
      </c>
      <c r="M65" s="117" t="s">
        <v>25</v>
      </c>
      <c r="N65" s="117"/>
      <c r="O65" s="117">
        <f t="shared" si="3"/>
        <v>1037350</v>
      </c>
      <c r="P65" s="117"/>
      <c r="Q65" s="117">
        <f>O65</f>
        <v>1037350</v>
      </c>
      <c r="R65" s="117"/>
      <c r="S65" s="117"/>
      <c r="T65" s="108"/>
      <c r="U65" s="234"/>
      <c r="V65" s="108"/>
    </row>
    <row r="66" spans="1:22" ht="31.5" x14ac:dyDescent="0.25">
      <c r="A66" s="115"/>
      <c r="B66" s="274">
        <v>5020322001</v>
      </c>
      <c r="C66" s="127" t="s">
        <v>262</v>
      </c>
      <c r="D66" s="242">
        <f>IFERROR(VLOOKUP(B66,'WORKING PAPER FC1'!$I$19:$J$31,2,FALSE),0)</f>
        <v>0</v>
      </c>
      <c r="E66" s="127"/>
      <c r="F66" s="242">
        <f>IFERROR(VLOOKUP(B66,'WORKING PAPER FC1'!$I$11:$J$12,2,FALSE),0)</f>
        <v>0</v>
      </c>
      <c r="G66" s="117">
        <f>-22300-39500-831327+D66+376332.5</f>
        <v>-516794.5</v>
      </c>
      <c r="H66" s="127" t="s">
        <v>262</v>
      </c>
      <c r="I66" s="117">
        <f t="shared" si="6"/>
        <v>516794.5</v>
      </c>
      <c r="J66" s="117"/>
      <c r="K66" s="199">
        <f t="shared" si="9"/>
        <v>-516794.5</v>
      </c>
      <c r="L66" s="225">
        <v>1040601000</v>
      </c>
      <c r="M66" s="117" t="s">
        <v>263</v>
      </c>
      <c r="N66" s="117"/>
      <c r="O66" s="117">
        <f t="shared" si="3"/>
        <v>516794.5</v>
      </c>
      <c r="P66" s="117">
        <f t="shared" ref="P66:P71" si="10">-O66</f>
        <v>-516794.5</v>
      </c>
      <c r="Q66" s="117"/>
      <c r="R66" s="117"/>
      <c r="S66" s="117"/>
      <c r="T66" s="108"/>
      <c r="U66" s="234"/>
      <c r="V66" s="108"/>
    </row>
    <row r="67" spans="1:22" ht="31.5" x14ac:dyDescent="0.25">
      <c r="A67" s="115"/>
      <c r="B67" s="274">
        <v>5020322001</v>
      </c>
      <c r="C67" s="127" t="s">
        <v>262</v>
      </c>
      <c r="D67" s="242"/>
      <c r="E67" s="127"/>
      <c r="F67" s="242"/>
      <c r="G67" s="117">
        <v>-376332.5</v>
      </c>
      <c r="H67" s="127" t="s">
        <v>262</v>
      </c>
      <c r="I67" s="117">
        <f t="shared" si="6"/>
        <v>376332.5</v>
      </c>
      <c r="J67" s="117"/>
      <c r="K67" s="199">
        <f t="shared" si="9"/>
        <v>-376332.5</v>
      </c>
      <c r="L67" s="225">
        <v>2010101000</v>
      </c>
      <c r="M67" s="117" t="s">
        <v>25</v>
      </c>
      <c r="N67" s="117"/>
      <c r="O67" s="117">
        <f t="shared" si="3"/>
        <v>376332.5</v>
      </c>
      <c r="P67" s="117">
        <f t="shared" si="10"/>
        <v>-376332.5</v>
      </c>
      <c r="Q67" s="117"/>
      <c r="R67" s="117"/>
      <c r="S67" s="117"/>
      <c r="T67" s="108"/>
      <c r="U67" s="234"/>
      <c r="V67" s="108"/>
    </row>
    <row r="68" spans="1:22" ht="47.25" x14ac:dyDescent="0.25">
      <c r="A68" s="115"/>
      <c r="B68" s="274">
        <v>5020321099</v>
      </c>
      <c r="C68" s="127" t="s">
        <v>264</v>
      </c>
      <c r="D68" s="242">
        <f>IFERROR(VLOOKUP(B68,'WORKING PAPER FC1'!$I$19:$J$31,2,FALSE),0)</f>
        <v>0</v>
      </c>
      <c r="E68" s="127"/>
      <c r="F68" s="242">
        <f>IFERROR(VLOOKUP(B68,'WORKING PAPER FC1'!$I$11:$J$12,2,FALSE),0)</f>
        <v>0</v>
      </c>
      <c r="G68" s="117">
        <f>-1258.75+D68+252386</f>
        <v>251127.25</v>
      </c>
      <c r="H68" s="127" t="s">
        <v>264</v>
      </c>
      <c r="I68" s="117">
        <f t="shared" si="6"/>
        <v>-251127.25</v>
      </c>
      <c r="J68" s="117"/>
      <c r="K68" s="199">
        <f t="shared" si="9"/>
        <v>251127.25</v>
      </c>
      <c r="L68" s="225">
        <v>1040599000</v>
      </c>
      <c r="M68" s="128" t="s">
        <v>265</v>
      </c>
      <c r="N68" s="117"/>
      <c r="O68" s="117">
        <f t="shared" si="3"/>
        <v>-251127.25</v>
      </c>
      <c r="P68" s="117">
        <f t="shared" si="10"/>
        <v>251127.25</v>
      </c>
      <c r="Q68" s="117"/>
      <c r="R68" s="117"/>
      <c r="S68" s="117"/>
      <c r="T68" s="108"/>
      <c r="U68" s="234"/>
      <c r="V68" s="108"/>
    </row>
    <row r="69" spans="1:22" ht="47.25" x14ac:dyDescent="0.25">
      <c r="A69" s="115"/>
      <c r="B69" s="274">
        <v>5020321099</v>
      </c>
      <c r="C69" s="127" t="s">
        <v>264</v>
      </c>
      <c r="D69" s="242"/>
      <c r="E69" s="127"/>
      <c r="F69" s="242"/>
      <c r="G69" s="117">
        <f>-252386</f>
        <v>-252386</v>
      </c>
      <c r="H69" s="127" t="s">
        <v>264</v>
      </c>
      <c r="I69" s="117">
        <f t="shared" si="6"/>
        <v>252386</v>
      </c>
      <c r="J69" s="117"/>
      <c r="K69" s="199">
        <f t="shared" si="9"/>
        <v>-252386</v>
      </c>
      <c r="L69" s="225">
        <v>2010101000</v>
      </c>
      <c r="M69" s="117" t="s">
        <v>25</v>
      </c>
      <c r="N69" s="117"/>
      <c r="O69" s="117">
        <f t="shared" si="3"/>
        <v>252386</v>
      </c>
      <c r="P69" s="117">
        <f t="shared" si="10"/>
        <v>-252386</v>
      </c>
      <c r="Q69" s="117"/>
      <c r="R69" s="117"/>
      <c r="S69" s="117"/>
      <c r="T69" s="108"/>
      <c r="U69" s="234"/>
      <c r="V69" s="108"/>
    </row>
    <row r="70" spans="1:22" ht="31.5" x14ac:dyDescent="0.25">
      <c r="A70" s="115"/>
      <c r="B70" s="274">
        <v>5020308000</v>
      </c>
      <c r="C70" s="127" t="s">
        <v>260</v>
      </c>
      <c r="D70" s="242">
        <f>IFERROR(VLOOKUP(B70,'WORKING PAPER FC1'!$I$19:$J$31,2,FALSE),0)</f>
        <v>0</v>
      </c>
      <c r="E70" s="127"/>
      <c r="F70" s="242">
        <f>IFERROR(VLOOKUP(B70,'WORKING PAPER FC1'!$I$11:$J$12,2,FALSE),0)</f>
        <v>0</v>
      </c>
      <c r="G70" s="117">
        <f>+-174874.57-4450</f>
        <v>-179324.57</v>
      </c>
      <c r="H70" s="127" t="s">
        <v>260</v>
      </c>
      <c r="I70" s="117">
        <f t="shared" si="6"/>
        <v>179324.57</v>
      </c>
      <c r="J70" s="117"/>
      <c r="K70" s="199">
        <f t="shared" si="9"/>
        <v>-179324.57</v>
      </c>
      <c r="L70" s="225">
        <v>1040407000</v>
      </c>
      <c r="M70" s="128" t="s">
        <v>261</v>
      </c>
      <c r="N70" s="117"/>
      <c r="O70" s="117">
        <f t="shared" si="3"/>
        <v>179324.57</v>
      </c>
      <c r="P70" s="117">
        <f t="shared" si="10"/>
        <v>-179324.57</v>
      </c>
      <c r="Q70" s="117"/>
      <c r="R70" s="117"/>
      <c r="S70" s="117"/>
      <c r="T70" s="108"/>
      <c r="U70" s="234"/>
      <c r="V70" s="108"/>
    </row>
    <row r="71" spans="1:22" ht="47.25" x14ac:dyDescent="0.25">
      <c r="A71" s="115"/>
      <c r="B71" s="274">
        <v>5020321007</v>
      </c>
      <c r="C71" s="127" t="s">
        <v>266</v>
      </c>
      <c r="D71" s="242">
        <f>IFERROR(VLOOKUP(B71,'WORKING PAPER FC1'!$I$19:$J$31,2,FALSE),0)</f>
        <v>0</v>
      </c>
      <c r="E71" s="127"/>
      <c r="F71" s="242">
        <f>IFERROR(VLOOKUP(B71,'WORKING PAPER FC1'!$I$11:$J$12,2,FALSE),0)</f>
        <v>0</v>
      </c>
      <c r="G71" s="117">
        <f>-2980-84990+D71</f>
        <v>-87970</v>
      </c>
      <c r="H71" s="127" t="s">
        <v>266</v>
      </c>
      <c r="I71" s="117">
        <f t="shared" si="6"/>
        <v>87970</v>
      </c>
      <c r="J71" s="117"/>
      <c r="K71" s="199">
        <f t="shared" si="9"/>
        <v>-87970</v>
      </c>
      <c r="L71" s="225">
        <v>1040507000</v>
      </c>
      <c r="M71" s="128" t="s">
        <v>267</v>
      </c>
      <c r="N71" s="117"/>
      <c r="O71" s="117">
        <f t="shared" si="3"/>
        <v>87970</v>
      </c>
      <c r="P71" s="117">
        <f t="shared" si="10"/>
        <v>-87970</v>
      </c>
      <c r="Q71" s="117"/>
      <c r="R71" s="117"/>
      <c r="S71" s="117"/>
      <c r="T71" s="108"/>
      <c r="U71" s="234"/>
      <c r="V71" s="108"/>
    </row>
    <row r="72" spans="1:22" ht="31.5" x14ac:dyDescent="0.25">
      <c r="A72" s="115"/>
      <c r="B72" s="274">
        <v>5029905001</v>
      </c>
      <c r="C72" s="127" t="s">
        <v>268</v>
      </c>
      <c r="D72" s="242">
        <f>IFERROR(VLOOKUP(B72,'WORKING PAPER FC1'!$I$19:$J$31,2,FALSE),0)</f>
        <v>0</v>
      </c>
      <c r="E72" s="127"/>
      <c r="F72" s="242">
        <f>IFERROR(VLOOKUP(B72,'WORKING PAPER FC1'!$I$11:$J$12,2,FALSE),0)</f>
        <v>0</v>
      </c>
      <c r="G72" s="117">
        <f>-296000</f>
        <v>-296000</v>
      </c>
      <c r="H72" s="127" t="s">
        <v>268</v>
      </c>
      <c r="I72" s="117">
        <f t="shared" si="6"/>
        <v>296000</v>
      </c>
      <c r="J72" s="117"/>
      <c r="K72" s="199">
        <f t="shared" si="9"/>
        <v>-296000</v>
      </c>
      <c r="L72" s="225">
        <v>2010101000</v>
      </c>
      <c r="M72" s="117" t="s">
        <v>25</v>
      </c>
      <c r="N72" s="117"/>
      <c r="O72" s="117">
        <f t="shared" si="3"/>
        <v>296000</v>
      </c>
      <c r="P72" s="117"/>
      <c r="Q72" s="117">
        <f>O72-N72</f>
        <v>296000</v>
      </c>
      <c r="R72" s="117"/>
      <c r="S72" s="117"/>
      <c r="T72" s="108"/>
      <c r="U72" s="234"/>
      <c r="V72" s="108"/>
    </row>
    <row r="73" spans="1:22" ht="31.5" x14ac:dyDescent="0.25">
      <c r="A73" s="115"/>
      <c r="B73" s="274">
        <v>5029902000</v>
      </c>
      <c r="C73" s="127" t="s">
        <v>62</v>
      </c>
      <c r="D73" s="242">
        <f>IFERROR(VLOOKUP(B73,'WORKING PAPER FC1'!$I$19:$J$31,2,FALSE),0)</f>
        <v>0</v>
      </c>
      <c r="E73" s="127"/>
      <c r="F73" s="242">
        <f>IFERROR(VLOOKUP(B73,'WORKING PAPER FC1'!$I$11:$J$12,2,FALSE),0)</f>
        <v>0</v>
      </c>
      <c r="G73" s="117">
        <f>-100000-162050-31500</f>
        <v>-293550</v>
      </c>
      <c r="H73" s="127" t="s">
        <v>62</v>
      </c>
      <c r="I73" s="117">
        <f t="shared" si="6"/>
        <v>293550</v>
      </c>
      <c r="J73" s="117"/>
      <c r="K73" s="199">
        <f t="shared" si="9"/>
        <v>-293550</v>
      </c>
      <c r="L73" s="225">
        <v>2010101000</v>
      </c>
      <c r="M73" s="117" t="s">
        <v>25</v>
      </c>
      <c r="N73" s="117"/>
      <c r="O73" s="117">
        <f t="shared" si="3"/>
        <v>293550</v>
      </c>
      <c r="P73" s="117"/>
      <c r="Q73" s="117">
        <f>O73-N73</f>
        <v>293550</v>
      </c>
      <c r="R73" s="117"/>
      <c r="S73" s="117"/>
      <c r="T73" s="108"/>
      <c r="U73" s="234"/>
      <c r="V73" s="108"/>
    </row>
    <row r="74" spans="1:22" ht="47.25" x14ac:dyDescent="0.25">
      <c r="A74" s="115"/>
      <c r="B74" s="274">
        <v>5020321001</v>
      </c>
      <c r="C74" s="127" t="s">
        <v>269</v>
      </c>
      <c r="D74" s="242">
        <f>IFERROR(VLOOKUP(B74,'WORKING PAPER FC1'!$I$19:$J$31,2,FALSE),0)</f>
        <v>0</v>
      </c>
      <c r="E74" s="127"/>
      <c r="F74" s="242">
        <f>IFERROR(VLOOKUP(B74,'WORKING PAPER FC1'!$I$11:$J$12,2,FALSE),0)</f>
        <v>0</v>
      </c>
      <c r="G74" s="117">
        <f>-13846.25+D74</f>
        <v>-13846.25</v>
      </c>
      <c r="H74" s="127" t="s">
        <v>269</v>
      </c>
      <c r="I74" s="117">
        <f t="shared" si="6"/>
        <v>13846.25</v>
      </c>
      <c r="J74" s="117"/>
      <c r="K74" s="199">
        <f t="shared" si="9"/>
        <v>-13846.25</v>
      </c>
      <c r="L74" s="225">
        <v>1040501000</v>
      </c>
      <c r="M74" s="117" t="s">
        <v>270</v>
      </c>
      <c r="N74" s="117"/>
      <c r="O74" s="117">
        <f t="shared" si="3"/>
        <v>13846.25</v>
      </c>
      <c r="P74" s="117">
        <f>-O74</f>
        <v>-13846.25</v>
      </c>
      <c r="Q74" s="117"/>
      <c r="R74" s="117"/>
      <c r="S74" s="117"/>
      <c r="T74" s="108"/>
      <c r="U74" s="234"/>
      <c r="V74" s="108"/>
    </row>
    <row r="75" spans="1:22" ht="47.25" x14ac:dyDescent="0.25">
      <c r="A75" s="115"/>
      <c r="B75" s="274">
        <v>5020321010</v>
      </c>
      <c r="C75" s="127" t="s">
        <v>271</v>
      </c>
      <c r="D75" s="242">
        <f>IFERROR(VLOOKUP(B75,'WORKING PAPER FC1'!$I$19:$J$31,2,FALSE),0)</f>
        <v>0</v>
      </c>
      <c r="E75" s="127"/>
      <c r="F75" s="242">
        <f>IFERROR(VLOOKUP(B75,'WORKING PAPER FC1'!$I$11:$J$12,2,FALSE),0)</f>
        <v>0</v>
      </c>
      <c r="G75" s="117">
        <f>-36000+D75+1910</f>
        <v>-34090</v>
      </c>
      <c r="H75" s="127" t="s">
        <v>269</v>
      </c>
      <c r="I75" s="117">
        <f t="shared" si="6"/>
        <v>34090</v>
      </c>
      <c r="J75" s="117"/>
      <c r="K75" s="199">
        <f t="shared" si="9"/>
        <v>-34090</v>
      </c>
      <c r="L75" s="225">
        <v>1040510000</v>
      </c>
      <c r="M75" s="117" t="s">
        <v>272</v>
      </c>
      <c r="N75" s="117"/>
      <c r="O75" s="117">
        <f t="shared" si="3"/>
        <v>34090</v>
      </c>
      <c r="P75" s="117">
        <f>-O75</f>
        <v>-34090</v>
      </c>
      <c r="Q75" s="117"/>
      <c r="R75" s="117"/>
      <c r="S75" s="117"/>
      <c r="T75" s="108"/>
      <c r="U75" s="234"/>
      <c r="V75" s="108"/>
    </row>
    <row r="76" spans="1:22" ht="47.25" x14ac:dyDescent="0.25">
      <c r="A76" s="115"/>
      <c r="B76" s="274">
        <v>5020321010</v>
      </c>
      <c r="C76" s="127" t="s">
        <v>271</v>
      </c>
      <c r="D76" s="242"/>
      <c r="E76" s="127"/>
      <c r="F76" s="242"/>
      <c r="G76" s="117">
        <v>-1910</v>
      </c>
      <c r="H76" s="127" t="s">
        <v>269</v>
      </c>
      <c r="I76" s="117">
        <f t="shared" si="6"/>
        <v>1910</v>
      </c>
      <c r="J76" s="117"/>
      <c r="K76" s="199">
        <f t="shared" si="9"/>
        <v>-1910</v>
      </c>
      <c r="L76" s="225">
        <v>2010101000</v>
      </c>
      <c r="M76" s="117" t="s">
        <v>25</v>
      </c>
      <c r="N76" s="117"/>
      <c r="O76" s="117">
        <f t="shared" si="3"/>
        <v>1910</v>
      </c>
      <c r="P76" s="117">
        <f>-O76</f>
        <v>-1910</v>
      </c>
      <c r="Q76" s="117"/>
      <c r="R76" s="117"/>
      <c r="S76" s="117"/>
      <c r="T76" s="108"/>
      <c r="U76" s="234"/>
      <c r="V76" s="108"/>
    </row>
    <row r="77" spans="1:22" ht="31.5" x14ac:dyDescent="0.25">
      <c r="A77" s="115"/>
      <c r="B77" s="274">
        <v>5020321013</v>
      </c>
      <c r="C77" s="127" t="s">
        <v>307</v>
      </c>
      <c r="D77" s="242">
        <f>IFERROR(VLOOKUP(B77,'WORKING PAPER FC1'!$I$19:$J$31,2,FALSE),0)</f>
        <v>0</v>
      </c>
      <c r="E77" s="127"/>
      <c r="F77" s="242"/>
      <c r="G77" s="117">
        <f>+D77</f>
        <v>0</v>
      </c>
      <c r="H77" s="127" t="s">
        <v>307</v>
      </c>
      <c r="I77" s="117">
        <f t="shared" si="6"/>
        <v>0</v>
      </c>
      <c r="J77" s="117"/>
      <c r="K77" s="199">
        <f t="shared" si="9"/>
        <v>0</v>
      </c>
      <c r="L77" s="225">
        <v>1040513000</v>
      </c>
      <c r="M77" s="117" t="s">
        <v>308</v>
      </c>
      <c r="N77" s="117"/>
      <c r="O77" s="117">
        <f t="shared" si="3"/>
        <v>0</v>
      </c>
      <c r="P77" s="117">
        <f>-O77</f>
        <v>0</v>
      </c>
      <c r="Q77" s="117"/>
      <c r="R77" s="117"/>
      <c r="S77" s="117"/>
      <c r="T77" s="108"/>
      <c r="U77" s="234"/>
      <c r="V77" s="108"/>
    </row>
    <row r="78" spans="1:22" ht="31.5" x14ac:dyDescent="0.25">
      <c r="A78" s="115"/>
      <c r="B78" s="274">
        <v>5050105003</v>
      </c>
      <c r="C78" s="127" t="s">
        <v>275</v>
      </c>
      <c r="D78" s="242">
        <f>IFERROR(VLOOKUP(B78,'WORKING PAPER FC1'!$I$19:$J$31,2,FALSE),0)</f>
        <v>0</v>
      </c>
      <c r="E78" s="127"/>
      <c r="F78" s="242">
        <f>IFERROR(VLOOKUP(B78,'WORKING PAPER FC1'!$I$11:$J$12,2,FALSE),0)</f>
        <v>0</v>
      </c>
      <c r="G78" s="117">
        <f>-49685.22</f>
        <v>-49685.22</v>
      </c>
      <c r="H78" s="127" t="s">
        <v>275</v>
      </c>
      <c r="I78" s="117">
        <f t="shared" si="6"/>
        <v>49685.22</v>
      </c>
      <c r="J78" s="117"/>
      <c r="K78" s="199">
        <f t="shared" si="9"/>
        <v>-49685.22</v>
      </c>
      <c r="L78" s="225">
        <v>1060503100</v>
      </c>
      <c r="M78" s="128" t="s">
        <v>276</v>
      </c>
      <c r="N78" s="117"/>
      <c r="O78" s="117">
        <f t="shared" si="3"/>
        <v>49685.22</v>
      </c>
      <c r="P78" s="117">
        <f>-O78</f>
        <v>-49685.22</v>
      </c>
      <c r="Q78" s="117"/>
      <c r="R78" s="117"/>
      <c r="S78" s="117"/>
      <c r="T78" s="108"/>
      <c r="U78" s="234"/>
      <c r="V78" s="108"/>
    </row>
    <row r="79" spans="1:22" ht="31.5" x14ac:dyDescent="0.25">
      <c r="A79" s="115"/>
      <c r="B79" s="274">
        <v>5050108002</v>
      </c>
      <c r="C79" s="127" t="s">
        <v>309</v>
      </c>
      <c r="D79" s="242"/>
      <c r="E79" s="127"/>
      <c r="F79" s="242"/>
      <c r="G79" s="117">
        <f>'WORKING PAPER FC1'!T25</f>
        <v>0</v>
      </c>
      <c r="H79" s="127" t="s">
        <v>309</v>
      </c>
      <c r="I79" s="117"/>
      <c r="J79" s="117">
        <f>G79</f>
        <v>0</v>
      </c>
      <c r="K79" s="199">
        <f>J79*-1</f>
        <v>0</v>
      </c>
      <c r="L79" s="225">
        <v>1060803100</v>
      </c>
      <c r="M79" s="128" t="s">
        <v>86</v>
      </c>
      <c r="N79" s="117">
        <v>49685.19</v>
      </c>
      <c r="O79" s="117"/>
      <c r="P79" s="117">
        <f>N79</f>
        <v>49685.19</v>
      </c>
      <c r="Q79" s="117"/>
      <c r="R79" s="117"/>
      <c r="S79" s="117"/>
      <c r="T79" s="108"/>
      <c r="U79" s="234"/>
      <c r="V79" s="108"/>
    </row>
    <row r="80" spans="1:22" ht="31.5" x14ac:dyDescent="0.25">
      <c r="A80" s="115"/>
      <c r="B80" s="274">
        <v>5029904000</v>
      </c>
      <c r="C80" s="127" t="s">
        <v>290</v>
      </c>
      <c r="D80" s="242">
        <f>IFERROR(VLOOKUP(B80,'WORKING PAPER FC1'!$I$19:$J$31,2,FALSE),0)</f>
        <v>0</v>
      </c>
      <c r="E80" s="127"/>
      <c r="F80" s="242">
        <f>IFERROR(VLOOKUP(B80,'WORKING PAPER FC1'!$I$11:$J$12,2,FALSE),0)</f>
        <v>0</v>
      </c>
      <c r="G80" s="117">
        <f>-950000</f>
        <v>-950000</v>
      </c>
      <c r="H80" s="127" t="s">
        <v>290</v>
      </c>
      <c r="I80" s="117">
        <f t="shared" si="6"/>
        <v>950000</v>
      </c>
      <c r="J80" s="117"/>
      <c r="K80" s="199">
        <f t="shared" si="9"/>
        <v>-950000</v>
      </c>
      <c r="L80" s="225">
        <v>2010101000</v>
      </c>
      <c r="M80" s="117" t="s">
        <v>25</v>
      </c>
      <c r="N80" s="117"/>
      <c r="O80" s="117">
        <f t="shared" si="3"/>
        <v>950000</v>
      </c>
      <c r="P80" s="117"/>
      <c r="Q80" s="117">
        <f>O80</f>
        <v>950000</v>
      </c>
      <c r="R80" s="117"/>
      <c r="S80" s="117"/>
      <c r="T80" s="108"/>
      <c r="U80" s="234"/>
      <c r="V80" s="108"/>
    </row>
    <row r="81" spans="1:22" ht="31.5" x14ac:dyDescent="0.25">
      <c r="A81" s="115"/>
      <c r="B81" s="274">
        <v>1060503000</v>
      </c>
      <c r="C81" s="127" t="s">
        <v>333</v>
      </c>
      <c r="D81" s="242"/>
      <c r="E81" s="127"/>
      <c r="F81" s="242"/>
      <c r="G81" s="117">
        <v>2285692.13</v>
      </c>
      <c r="H81" s="127" t="s">
        <v>333</v>
      </c>
      <c r="I81" s="117">
        <f>G81</f>
        <v>2285692.13</v>
      </c>
      <c r="J81" s="117"/>
      <c r="K81" s="199">
        <f>I81</f>
        <v>2285692.13</v>
      </c>
      <c r="L81" s="225">
        <v>4030106000</v>
      </c>
      <c r="M81" s="128" t="s">
        <v>336</v>
      </c>
      <c r="N81" s="117"/>
      <c r="O81" s="117">
        <f>G81</f>
        <v>2285692.13</v>
      </c>
      <c r="P81" s="117">
        <f>O81</f>
        <v>2285692.13</v>
      </c>
      <c r="Q81" s="117"/>
      <c r="R81" s="117"/>
      <c r="S81" s="117"/>
      <c r="T81" s="108"/>
      <c r="U81" s="234"/>
      <c r="V81" s="108"/>
    </row>
    <row r="82" spans="1:22" x14ac:dyDescent="0.25">
      <c r="A82" s="115"/>
      <c r="B82" s="274">
        <v>1060601000</v>
      </c>
      <c r="C82" s="127" t="s">
        <v>106</v>
      </c>
      <c r="D82" s="242"/>
      <c r="E82" s="127"/>
      <c r="F82" s="242"/>
      <c r="G82" s="117">
        <v>2500000</v>
      </c>
      <c r="H82" s="127" t="s">
        <v>106</v>
      </c>
      <c r="I82" s="117">
        <f>G82</f>
        <v>2500000</v>
      </c>
      <c r="J82" s="117"/>
      <c r="K82" s="199">
        <f>I82</f>
        <v>2500000</v>
      </c>
      <c r="L82" s="225">
        <v>4040202000</v>
      </c>
      <c r="M82" s="128" t="s">
        <v>334</v>
      </c>
      <c r="N82" s="117"/>
      <c r="O82" s="117">
        <f>G82</f>
        <v>2500000</v>
      </c>
      <c r="P82" s="117">
        <f>O82</f>
        <v>2500000</v>
      </c>
      <c r="Q82" s="117"/>
      <c r="R82" s="117"/>
      <c r="S82" s="117"/>
      <c r="T82" s="108"/>
      <c r="U82" s="234"/>
      <c r="V82" s="108"/>
    </row>
    <row r="83" spans="1:22" x14ac:dyDescent="0.25">
      <c r="A83" s="115"/>
      <c r="B83" s="274">
        <v>1060499000</v>
      </c>
      <c r="C83" s="127" t="s">
        <v>335</v>
      </c>
      <c r="D83" s="242"/>
      <c r="E83" s="127"/>
      <c r="F83" s="242"/>
      <c r="G83" s="117">
        <v>934671.2</v>
      </c>
      <c r="H83" s="127"/>
      <c r="I83" s="117"/>
      <c r="J83" s="117"/>
      <c r="K83" s="199"/>
      <c r="L83" s="225">
        <v>1060499000</v>
      </c>
      <c r="M83" s="128" t="s">
        <v>335</v>
      </c>
      <c r="N83" s="117"/>
      <c r="O83" s="117">
        <f>G83</f>
        <v>934671.2</v>
      </c>
      <c r="P83" s="117">
        <f>O83</f>
        <v>934671.2</v>
      </c>
      <c r="Q83" s="117"/>
      <c r="R83" s="117"/>
      <c r="S83" s="117">
        <f>+P83</f>
        <v>934671.2</v>
      </c>
      <c r="T83" s="108"/>
      <c r="U83" s="234"/>
      <c r="V83" s="108"/>
    </row>
    <row r="84" spans="1:22" x14ac:dyDescent="0.25">
      <c r="A84" s="115"/>
      <c r="B84" s="274"/>
      <c r="C84" s="127" t="s">
        <v>53</v>
      </c>
      <c r="D84" s="242">
        <v>-900</v>
      </c>
      <c r="E84" s="127"/>
      <c r="F84" s="242"/>
      <c r="G84" s="117">
        <v>-900</v>
      </c>
      <c r="H84" s="127"/>
      <c r="I84" s="117"/>
      <c r="J84" s="117"/>
      <c r="K84" s="199"/>
      <c r="L84" s="225"/>
      <c r="M84" s="128" t="s">
        <v>236</v>
      </c>
      <c r="N84" s="117"/>
      <c r="O84" s="117">
        <v>900</v>
      </c>
      <c r="P84" s="117"/>
      <c r="Q84" s="117">
        <v>900</v>
      </c>
      <c r="R84" s="117"/>
      <c r="S84" s="117">
        <v>-900</v>
      </c>
      <c r="T84" s="108"/>
      <c r="U84" s="234"/>
      <c r="V84" s="108"/>
    </row>
    <row r="85" spans="1:22" x14ac:dyDescent="0.25">
      <c r="A85" s="115"/>
      <c r="B85" s="274"/>
      <c r="C85" s="127" t="s">
        <v>53</v>
      </c>
      <c r="D85" s="242">
        <v>3380.48</v>
      </c>
      <c r="E85" s="127"/>
      <c r="F85" s="242"/>
      <c r="G85" s="117">
        <v>3380.48</v>
      </c>
      <c r="H85" s="127"/>
      <c r="I85" s="117"/>
      <c r="J85" s="117"/>
      <c r="K85" s="199"/>
      <c r="L85" s="225"/>
      <c r="M85" s="128" t="s">
        <v>273</v>
      </c>
      <c r="N85" s="117">
        <v>3380.48</v>
      </c>
      <c r="O85" s="117"/>
      <c r="P85" s="117"/>
      <c r="Q85" s="117">
        <v>-3380.48</v>
      </c>
      <c r="R85" s="117"/>
      <c r="S85" s="117">
        <v>3380.48</v>
      </c>
      <c r="T85" s="108"/>
      <c r="U85" s="234"/>
      <c r="V85" s="108"/>
    </row>
    <row r="86" spans="1:22" x14ac:dyDescent="0.25">
      <c r="A86" s="115"/>
      <c r="B86" s="274"/>
      <c r="C86" s="127" t="s">
        <v>47</v>
      </c>
      <c r="D86" s="242">
        <v>-12500</v>
      </c>
      <c r="E86" s="127"/>
      <c r="F86" s="242"/>
      <c r="G86" s="117">
        <v>-12500</v>
      </c>
      <c r="H86" s="127"/>
      <c r="I86" s="117"/>
      <c r="J86" s="117"/>
      <c r="K86" s="199"/>
      <c r="L86" s="225"/>
      <c r="M86" s="128" t="s">
        <v>47</v>
      </c>
      <c r="N86" s="117"/>
      <c r="O86" s="117">
        <v>12500</v>
      </c>
      <c r="P86" s="117">
        <v>-12500</v>
      </c>
      <c r="Q86" s="117"/>
      <c r="R86" s="117"/>
      <c r="S86" s="117">
        <v>-12500</v>
      </c>
      <c r="T86" s="108"/>
      <c r="U86" s="234"/>
      <c r="V86" s="108"/>
    </row>
    <row r="87" spans="1:22" ht="31.5" x14ac:dyDescent="0.25">
      <c r="A87" s="115"/>
      <c r="B87" s="274"/>
      <c r="C87" s="127" t="s">
        <v>294</v>
      </c>
      <c r="D87" s="242">
        <v>-3500</v>
      </c>
      <c r="E87" s="127"/>
      <c r="F87" s="242"/>
      <c r="G87" s="117">
        <v>-3500</v>
      </c>
      <c r="H87" s="127"/>
      <c r="I87" s="117"/>
      <c r="J87" s="117"/>
      <c r="K87" s="199"/>
      <c r="L87" s="225"/>
      <c r="M87" s="128" t="s">
        <v>294</v>
      </c>
      <c r="N87" s="117"/>
      <c r="O87" s="117">
        <v>3500</v>
      </c>
      <c r="P87" s="117">
        <v>-3500</v>
      </c>
      <c r="Q87" s="117"/>
      <c r="R87" s="117"/>
      <c r="S87" s="117">
        <v>-3500</v>
      </c>
      <c r="T87" s="108"/>
      <c r="U87" s="234"/>
      <c r="V87" s="108"/>
    </row>
    <row r="88" spans="1:22" x14ac:dyDescent="0.25">
      <c r="A88" s="115"/>
      <c r="B88" s="274"/>
      <c r="C88" s="127" t="s">
        <v>263</v>
      </c>
      <c r="D88" s="242">
        <v>-12985</v>
      </c>
      <c r="E88" s="127"/>
      <c r="F88" s="242"/>
      <c r="G88" s="117">
        <v>-12985</v>
      </c>
      <c r="H88" s="127"/>
      <c r="I88" s="117"/>
      <c r="J88" s="117"/>
      <c r="K88" s="199"/>
      <c r="L88" s="225"/>
      <c r="M88" s="128" t="s">
        <v>263</v>
      </c>
      <c r="N88" s="117"/>
      <c r="O88" s="117">
        <v>12985</v>
      </c>
      <c r="P88" s="117">
        <v>-12985</v>
      </c>
      <c r="Q88" s="117"/>
      <c r="R88" s="117"/>
      <c r="S88" s="117">
        <v>-12985</v>
      </c>
      <c r="T88" s="108"/>
      <c r="U88" s="234"/>
      <c r="V88" s="108"/>
    </row>
    <row r="89" spans="1:22" x14ac:dyDescent="0.25">
      <c r="A89" s="115"/>
      <c r="B89" s="274"/>
      <c r="C89" s="127" t="s">
        <v>32</v>
      </c>
      <c r="D89" s="242">
        <v>-136889.79999999999</v>
      </c>
      <c r="E89" s="127"/>
      <c r="F89" s="242"/>
      <c r="G89" s="117">
        <v>-136889.79999999999</v>
      </c>
      <c r="H89" s="127"/>
      <c r="I89" s="117"/>
      <c r="J89" s="117"/>
      <c r="K89" s="199"/>
      <c r="L89" s="225"/>
      <c r="M89" s="128" t="s">
        <v>32</v>
      </c>
      <c r="N89" s="117"/>
      <c r="O89" s="117">
        <v>136889.79999999999</v>
      </c>
      <c r="P89" s="117">
        <v>-136889.79999999999</v>
      </c>
      <c r="Q89" s="117"/>
      <c r="R89" s="117"/>
      <c r="S89" s="117">
        <v>-136889.79999999999</v>
      </c>
      <c r="T89" s="108"/>
      <c r="U89" s="234"/>
      <c r="V89" s="108"/>
    </row>
    <row r="90" spans="1:22" x14ac:dyDescent="0.25">
      <c r="A90" s="115"/>
      <c r="B90" s="274"/>
      <c r="C90" s="127" t="s">
        <v>295</v>
      </c>
      <c r="D90" s="242">
        <v>-125205.4</v>
      </c>
      <c r="E90" s="127"/>
      <c r="F90" s="242"/>
      <c r="G90" s="117">
        <v>-125205.4</v>
      </c>
      <c r="H90" s="127"/>
      <c r="I90" s="117"/>
      <c r="J90" s="117"/>
      <c r="K90" s="199"/>
      <c r="L90" s="225"/>
      <c r="M90" s="128" t="s">
        <v>295</v>
      </c>
      <c r="N90" s="117"/>
      <c r="O90" s="117">
        <v>125205.4</v>
      </c>
      <c r="P90" s="117">
        <v>-125205.4</v>
      </c>
      <c r="Q90" s="117"/>
      <c r="R90" s="117"/>
      <c r="S90" s="117">
        <v>-125205.4</v>
      </c>
      <c r="T90" s="108"/>
      <c r="U90" s="234"/>
      <c r="V90" s="108"/>
    </row>
    <row r="91" spans="1:22" x14ac:dyDescent="0.25">
      <c r="A91" s="115"/>
      <c r="B91" s="274"/>
      <c r="C91" s="127" t="s">
        <v>139</v>
      </c>
      <c r="D91" s="242"/>
      <c r="E91" s="127"/>
      <c r="F91" s="242"/>
      <c r="G91" s="117">
        <v>-3004417</v>
      </c>
      <c r="H91" s="127" t="s">
        <v>29</v>
      </c>
      <c r="I91" s="117">
        <v>3004417</v>
      </c>
      <c r="J91" s="117"/>
      <c r="K91" s="199">
        <v>-3004417</v>
      </c>
      <c r="L91" s="225"/>
      <c r="M91" s="128" t="s">
        <v>114</v>
      </c>
      <c r="N91" s="117"/>
      <c r="O91" s="117">
        <v>3004417</v>
      </c>
      <c r="P91" s="117"/>
      <c r="Q91" s="117">
        <v>3004417</v>
      </c>
      <c r="R91" s="117"/>
      <c r="S91" s="117"/>
      <c r="T91" s="108"/>
      <c r="U91" s="234"/>
      <c r="V91" s="108"/>
    </row>
    <row r="92" spans="1:22" x14ac:dyDescent="0.25">
      <c r="A92" s="115"/>
      <c r="B92" s="274"/>
      <c r="C92" s="127" t="s">
        <v>140</v>
      </c>
      <c r="D92" s="242"/>
      <c r="E92" s="127"/>
      <c r="F92" s="242"/>
      <c r="G92" s="117">
        <v>-165000</v>
      </c>
      <c r="H92" s="127" t="s">
        <v>173</v>
      </c>
      <c r="I92" s="117">
        <v>165000</v>
      </c>
      <c r="J92" s="117"/>
      <c r="K92" s="199">
        <v>-165000</v>
      </c>
      <c r="L92" s="225"/>
      <c r="M92" s="128" t="s">
        <v>114</v>
      </c>
      <c r="N92" s="117"/>
      <c r="O92" s="117">
        <v>165000</v>
      </c>
      <c r="P92" s="117"/>
      <c r="Q92" s="117">
        <v>165000</v>
      </c>
      <c r="R92" s="117"/>
      <c r="S92" s="117"/>
      <c r="T92" s="108"/>
      <c r="U92" s="234"/>
      <c r="V92" s="108"/>
    </row>
    <row r="93" spans="1:22" x14ac:dyDescent="0.25">
      <c r="A93" s="115"/>
      <c r="B93" s="274"/>
      <c r="C93" s="127" t="s">
        <v>141</v>
      </c>
      <c r="D93" s="242"/>
      <c r="E93" s="127"/>
      <c r="F93" s="242"/>
      <c r="G93" s="117">
        <v>-3464.38</v>
      </c>
      <c r="H93" s="127" t="s">
        <v>53</v>
      </c>
      <c r="I93" s="117">
        <v>3464.38</v>
      </c>
      <c r="J93" s="117"/>
      <c r="K93" s="199">
        <v>-3464.38</v>
      </c>
      <c r="L93" s="225"/>
      <c r="M93" s="128" t="s">
        <v>114</v>
      </c>
      <c r="N93" s="117"/>
      <c r="O93" s="117">
        <v>3464.38</v>
      </c>
      <c r="P93" s="117"/>
      <c r="Q93" s="117">
        <v>3464.38</v>
      </c>
      <c r="R93" s="117"/>
      <c r="S93" s="117"/>
      <c r="T93" s="108"/>
      <c r="U93" s="234"/>
      <c r="V93" s="108"/>
    </row>
    <row r="94" spans="1:22" ht="31.5" x14ac:dyDescent="0.25">
      <c r="A94" s="115"/>
      <c r="B94" s="274"/>
      <c r="C94" s="127" t="s">
        <v>367</v>
      </c>
      <c r="D94" s="242"/>
      <c r="E94" s="127"/>
      <c r="F94" s="242"/>
      <c r="G94" s="117">
        <v>-937085</v>
      </c>
      <c r="H94" s="127" t="s">
        <v>374</v>
      </c>
      <c r="I94" s="117">
        <v>937085</v>
      </c>
      <c r="J94" s="117"/>
      <c r="K94" s="199">
        <v>-937085</v>
      </c>
      <c r="L94" s="225"/>
      <c r="M94" s="128" t="s">
        <v>114</v>
      </c>
      <c r="N94" s="117"/>
      <c r="O94" s="117">
        <v>937085</v>
      </c>
      <c r="P94" s="117"/>
      <c r="Q94" s="117">
        <v>937085</v>
      </c>
      <c r="R94" s="117"/>
      <c r="S94" s="117"/>
      <c r="T94" s="108"/>
      <c r="U94" s="234"/>
      <c r="V94" s="108"/>
    </row>
    <row r="95" spans="1:22" ht="31.5" x14ac:dyDescent="0.25">
      <c r="A95" s="115"/>
      <c r="B95" s="274"/>
      <c r="C95" s="127" t="s">
        <v>368</v>
      </c>
      <c r="D95" s="242"/>
      <c r="E95" s="127"/>
      <c r="F95" s="242"/>
      <c r="G95" s="117">
        <v>-7250</v>
      </c>
      <c r="H95" s="127" t="s">
        <v>375</v>
      </c>
      <c r="I95" s="117">
        <v>7250</v>
      </c>
      <c r="J95" s="117"/>
      <c r="K95" s="199">
        <v>-7250</v>
      </c>
      <c r="L95" s="225"/>
      <c r="M95" s="128" t="s">
        <v>114</v>
      </c>
      <c r="N95" s="117"/>
      <c r="O95" s="117">
        <v>7250</v>
      </c>
      <c r="P95" s="117"/>
      <c r="Q95" s="117">
        <v>7250</v>
      </c>
      <c r="R95" s="117"/>
      <c r="S95" s="117"/>
      <c r="T95" s="108"/>
      <c r="U95" s="234"/>
      <c r="V95" s="108"/>
    </row>
    <row r="96" spans="1:22" x14ac:dyDescent="0.25">
      <c r="A96" s="115"/>
      <c r="B96" s="274"/>
      <c r="C96" s="127" t="s">
        <v>142</v>
      </c>
      <c r="D96" s="242"/>
      <c r="E96" s="127"/>
      <c r="F96" s="242"/>
      <c r="G96" s="117">
        <v>-447400</v>
      </c>
      <c r="H96" s="127" t="s">
        <v>376</v>
      </c>
      <c r="I96" s="117">
        <v>447400</v>
      </c>
      <c r="J96" s="117"/>
      <c r="K96" s="199">
        <v>-447400</v>
      </c>
      <c r="L96" s="225"/>
      <c r="M96" s="128" t="s">
        <v>114</v>
      </c>
      <c r="N96" s="117"/>
      <c r="O96" s="117">
        <v>447400</v>
      </c>
      <c r="P96" s="117"/>
      <c r="Q96" s="117">
        <v>447400</v>
      </c>
      <c r="R96" s="117"/>
      <c r="S96" s="117"/>
      <c r="T96" s="108"/>
      <c r="U96" s="234"/>
      <c r="V96" s="108"/>
    </row>
    <row r="97" spans="1:22" x14ac:dyDescent="0.25">
      <c r="A97" s="115"/>
      <c r="B97" s="274"/>
      <c r="C97" s="127" t="s">
        <v>369</v>
      </c>
      <c r="D97" s="242"/>
      <c r="E97" s="127"/>
      <c r="F97" s="242"/>
      <c r="G97" s="117">
        <v>-29500</v>
      </c>
      <c r="H97" s="127" t="s">
        <v>377</v>
      </c>
      <c r="I97" s="117">
        <v>29500</v>
      </c>
      <c r="J97" s="117"/>
      <c r="K97" s="199">
        <v>-29500</v>
      </c>
      <c r="L97" s="225"/>
      <c r="M97" s="128" t="s">
        <v>114</v>
      </c>
      <c r="N97" s="117"/>
      <c r="O97" s="117">
        <v>29500</v>
      </c>
      <c r="P97" s="117"/>
      <c r="Q97" s="117">
        <v>29500</v>
      </c>
      <c r="R97" s="117"/>
      <c r="S97" s="117"/>
      <c r="T97" s="108"/>
      <c r="U97" s="234"/>
      <c r="V97" s="108"/>
    </row>
    <row r="98" spans="1:22" ht="31.5" x14ac:dyDescent="0.25">
      <c r="A98" s="115"/>
      <c r="B98" s="274"/>
      <c r="C98" s="127" t="s">
        <v>370</v>
      </c>
      <c r="D98" s="242"/>
      <c r="E98" s="127"/>
      <c r="F98" s="242"/>
      <c r="G98" s="117">
        <v>-20050</v>
      </c>
      <c r="H98" s="127" t="s">
        <v>378</v>
      </c>
      <c r="I98" s="117">
        <v>20050</v>
      </c>
      <c r="J98" s="117"/>
      <c r="K98" s="199">
        <v>-20050</v>
      </c>
      <c r="L98" s="225"/>
      <c r="M98" s="128" t="s">
        <v>114</v>
      </c>
      <c r="N98" s="117"/>
      <c r="O98" s="117">
        <v>20050</v>
      </c>
      <c r="P98" s="117"/>
      <c r="Q98" s="117">
        <v>20050</v>
      </c>
      <c r="R98" s="117"/>
      <c r="S98" s="117"/>
      <c r="T98" s="108"/>
      <c r="U98" s="234"/>
      <c r="V98" s="108"/>
    </row>
    <row r="99" spans="1:22" ht="47.25" x14ac:dyDescent="0.25">
      <c r="A99" s="115"/>
      <c r="B99" s="274"/>
      <c r="C99" s="127" t="s">
        <v>371</v>
      </c>
      <c r="D99" s="242"/>
      <c r="E99" s="127"/>
      <c r="F99" s="242"/>
      <c r="G99" s="117">
        <v>-16965</v>
      </c>
      <c r="H99" s="127" t="s">
        <v>379</v>
      </c>
      <c r="I99" s="117">
        <v>16965</v>
      </c>
      <c r="J99" s="117"/>
      <c r="K99" s="199">
        <v>-16965</v>
      </c>
      <c r="L99" s="225"/>
      <c r="M99" s="128" t="s">
        <v>114</v>
      </c>
      <c r="N99" s="117"/>
      <c r="O99" s="117">
        <v>16965</v>
      </c>
      <c r="P99" s="117"/>
      <c r="Q99" s="117">
        <v>16965</v>
      </c>
      <c r="R99" s="117"/>
      <c r="S99" s="117"/>
      <c r="T99" s="108"/>
      <c r="U99" s="234"/>
      <c r="V99" s="108"/>
    </row>
    <row r="100" spans="1:22" x14ac:dyDescent="0.25">
      <c r="A100" s="115"/>
      <c r="B100" s="274"/>
      <c r="C100" s="127" t="s">
        <v>372</v>
      </c>
      <c r="D100" s="242"/>
      <c r="E100" s="127"/>
      <c r="F100" s="242"/>
      <c r="G100" s="117">
        <v>-205600</v>
      </c>
      <c r="H100" s="127" t="s">
        <v>380</v>
      </c>
      <c r="I100" s="117">
        <v>205600</v>
      </c>
      <c r="J100" s="117"/>
      <c r="K100" s="199">
        <v>-205600</v>
      </c>
      <c r="L100" s="225"/>
      <c r="M100" s="128" t="s">
        <v>114</v>
      </c>
      <c r="N100" s="117"/>
      <c r="O100" s="117">
        <v>205600</v>
      </c>
      <c r="P100" s="117"/>
      <c r="Q100" s="117">
        <v>205600</v>
      </c>
      <c r="R100" s="117"/>
      <c r="S100" s="117"/>
      <c r="T100" s="108"/>
      <c r="U100" s="234"/>
      <c r="V100" s="108"/>
    </row>
    <row r="101" spans="1:22" x14ac:dyDescent="0.25">
      <c r="A101" s="115"/>
      <c r="B101" s="274"/>
      <c r="C101" s="127" t="s">
        <v>373</v>
      </c>
      <c r="D101" s="242"/>
      <c r="E101" s="127"/>
      <c r="F101" s="242"/>
      <c r="G101" s="117">
        <v>-1250162.43</v>
      </c>
      <c r="H101" s="127" t="s">
        <v>381</v>
      </c>
      <c r="I101" s="117">
        <v>1250162.43</v>
      </c>
      <c r="J101" s="117"/>
      <c r="K101" s="199">
        <v>-1250162.43</v>
      </c>
      <c r="L101" s="225"/>
      <c r="M101" s="128" t="s">
        <v>114</v>
      </c>
      <c r="N101" s="117"/>
      <c r="O101" s="117">
        <v>1250162.43</v>
      </c>
      <c r="P101" s="117"/>
      <c r="Q101" s="117">
        <v>1250162.43</v>
      </c>
      <c r="R101" s="117"/>
      <c r="S101" s="117"/>
      <c r="T101" s="108"/>
      <c r="U101" s="234"/>
      <c r="V101" s="108"/>
    </row>
    <row r="102" spans="1:22" s="126" customFormat="1" ht="31.5" x14ac:dyDescent="0.25">
      <c r="A102" s="121"/>
      <c r="B102" s="276"/>
      <c r="C102" s="122" t="s">
        <v>71</v>
      </c>
      <c r="D102" s="122"/>
      <c r="E102" s="122"/>
      <c r="F102" s="242">
        <f>IFERROR(VLOOKUP(B102,'WORKING PAPER FC1'!$I$11:$J$12,2,FALSE),0)</f>
        <v>0</v>
      </c>
      <c r="G102" s="123"/>
      <c r="H102" s="124"/>
      <c r="I102" s="123"/>
      <c r="J102" s="123"/>
      <c r="K102" s="201"/>
      <c r="L102" s="224"/>
      <c r="M102" s="123"/>
      <c r="N102" s="123"/>
      <c r="O102" s="123"/>
      <c r="P102" s="123"/>
      <c r="Q102" s="117"/>
      <c r="R102" s="123"/>
      <c r="S102" s="123"/>
      <c r="T102" s="125"/>
      <c r="U102" s="125"/>
      <c r="V102" s="125"/>
    </row>
    <row r="103" spans="1:22" ht="31.5" x14ac:dyDescent="0.25">
      <c r="A103" s="115"/>
      <c r="B103" s="274">
        <v>5021499000</v>
      </c>
      <c r="C103" s="127" t="s">
        <v>252</v>
      </c>
      <c r="D103" s="127"/>
      <c r="E103" s="127"/>
      <c r="F103" s="242"/>
      <c r="G103" s="117">
        <f>10265.13</f>
        <v>10265.129999999999</v>
      </c>
      <c r="H103" s="131" t="s">
        <v>34</v>
      </c>
      <c r="I103" s="117"/>
      <c r="J103" s="117">
        <v>10265.129999999999</v>
      </c>
      <c r="K103" s="199">
        <f>J103</f>
        <v>10265.129999999999</v>
      </c>
      <c r="L103" s="225">
        <v>1040202000</v>
      </c>
      <c r="M103" s="117" t="s">
        <v>36</v>
      </c>
      <c r="N103" s="117">
        <f>J103</f>
        <v>10265.129999999999</v>
      </c>
      <c r="O103" s="117"/>
      <c r="P103" s="117">
        <f>N103</f>
        <v>10265.129999999999</v>
      </c>
      <c r="Q103" s="117"/>
      <c r="R103" s="117"/>
      <c r="S103" s="117"/>
      <c r="T103" s="108"/>
      <c r="U103" s="108"/>
      <c r="V103" s="108"/>
    </row>
    <row r="104" spans="1:22" x14ac:dyDescent="0.25">
      <c r="A104" s="115"/>
      <c r="B104" s="274">
        <v>5021499000</v>
      </c>
      <c r="C104" s="131" t="s">
        <v>34</v>
      </c>
      <c r="D104" s="127"/>
      <c r="E104" s="127"/>
      <c r="F104" s="242"/>
      <c r="G104" s="117">
        <v>2450</v>
      </c>
      <c r="H104" s="131" t="s">
        <v>34</v>
      </c>
      <c r="I104" s="117"/>
      <c r="J104" s="117">
        <v>2450</v>
      </c>
      <c r="K104" s="199">
        <v>2450</v>
      </c>
      <c r="L104" s="225">
        <v>2010101000</v>
      </c>
      <c r="M104" s="117" t="s">
        <v>25</v>
      </c>
      <c r="N104" s="117">
        <v>2450</v>
      </c>
      <c r="O104" s="117"/>
      <c r="P104" s="117"/>
      <c r="Q104" s="117">
        <v>-2450</v>
      </c>
      <c r="R104" s="117"/>
      <c r="S104" s="117"/>
      <c r="T104" s="108"/>
      <c r="U104" s="108"/>
      <c r="V104" s="108"/>
    </row>
    <row r="105" spans="1:22" ht="31.5" x14ac:dyDescent="0.25">
      <c r="A105" s="115"/>
      <c r="B105" s="274">
        <v>5020301001</v>
      </c>
      <c r="C105" s="127" t="s">
        <v>238</v>
      </c>
      <c r="D105" s="127"/>
      <c r="E105" s="127"/>
      <c r="F105" s="242"/>
      <c r="G105" s="117">
        <f>209080</f>
        <v>209080</v>
      </c>
      <c r="H105" s="127" t="s">
        <v>238</v>
      </c>
      <c r="I105" s="117"/>
      <c r="J105" s="117">
        <f>G105</f>
        <v>209080</v>
      </c>
      <c r="K105" s="199">
        <f>J105</f>
        <v>209080</v>
      </c>
      <c r="L105" s="225">
        <v>1040503000</v>
      </c>
      <c r="M105" s="128" t="s">
        <v>289</v>
      </c>
      <c r="N105" s="117">
        <f>J105</f>
        <v>209080</v>
      </c>
      <c r="O105" s="117"/>
      <c r="P105" s="117">
        <f>N105</f>
        <v>209080</v>
      </c>
      <c r="Q105" s="117"/>
      <c r="R105" s="117"/>
      <c r="S105" s="117"/>
      <c r="T105" s="108"/>
      <c r="U105" s="108"/>
      <c r="V105" s="108"/>
    </row>
    <row r="106" spans="1:22" ht="31.5" x14ac:dyDescent="0.25">
      <c r="A106" s="115"/>
      <c r="B106" s="274">
        <v>5020322001</v>
      </c>
      <c r="C106" s="127" t="s">
        <v>262</v>
      </c>
      <c r="D106" s="127"/>
      <c r="E106" s="127"/>
      <c r="F106" s="242"/>
      <c r="G106" s="117">
        <v>1367.4</v>
      </c>
      <c r="H106" s="127" t="s">
        <v>262</v>
      </c>
      <c r="I106" s="117"/>
      <c r="J106" s="117">
        <f>G106</f>
        <v>1367.4</v>
      </c>
      <c r="K106" s="199">
        <f>J106</f>
        <v>1367.4</v>
      </c>
      <c r="L106" s="225">
        <v>2010101000</v>
      </c>
      <c r="M106" s="117" t="s">
        <v>25</v>
      </c>
      <c r="N106" s="117">
        <f>J106</f>
        <v>1367.4</v>
      </c>
      <c r="O106" s="117"/>
      <c r="P106" s="117">
        <f>N106</f>
        <v>1367.4</v>
      </c>
      <c r="Q106" s="117"/>
      <c r="R106" s="117"/>
      <c r="S106" s="117"/>
      <c r="T106" s="108"/>
      <c r="U106" s="108"/>
      <c r="V106" s="108"/>
    </row>
    <row r="107" spans="1:22" ht="31.5" x14ac:dyDescent="0.25">
      <c r="A107" s="115"/>
      <c r="B107" s="274"/>
      <c r="C107" s="127" t="s">
        <v>382</v>
      </c>
      <c r="D107" s="127"/>
      <c r="E107" s="127"/>
      <c r="F107" s="242"/>
      <c r="G107" s="117">
        <v>2657298.4</v>
      </c>
      <c r="H107" s="127" t="s">
        <v>34</v>
      </c>
      <c r="I107" s="117"/>
      <c r="J107" s="117">
        <v>2657298.4</v>
      </c>
      <c r="K107" s="199">
        <v>2657298.4</v>
      </c>
      <c r="L107" s="225"/>
      <c r="M107" s="117" t="s">
        <v>114</v>
      </c>
      <c r="N107" s="117">
        <v>2657298.4</v>
      </c>
      <c r="O107" s="117"/>
      <c r="P107" s="117"/>
      <c r="Q107" s="117">
        <v>-2657298.4</v>
      </c>
      <c r="R107" s="117"/>
      <c r="S107" s="117"/>
      <c r="T107" s="108"/>
      <c r="U107" s="108"/>
      <c r="V107" s="108"/>
    </row>
    <row r="108" spans="1:22" x14ac:dyDescent="0.25">
      <c r="A108" s="115"/>
      <c r="B108" s="274"/>
      <c r="C108" s="127" t="s">
        <v>383</v>
      </c>
      <c r="D108" s="127"/>
      <c r="E108" s="127"/>
      <c r="F108" s="242"/>
      <c r="G108" s="117">
        <v>173.88</v>
      </c>
      <c r="H108" s="127" t="s">
        <v>53</v>
      </c>
      <c r="I108" s="117"/>
      <c r="J108" s="117">
        <v>173.88</v>
      </c>
      <c r="K108" s="199">
        <v>173.88</v>
      </c>
      <c r="L108" s="225"/>
      <c r="M108" s="117" t="s">
        <v>114</v>
      </c>
      <c r="N108" s="117">
        <v>173.88</v>
      </c>
      <c r="O108" s="117"/>
      <c r="P108" s="117"/>
      <c r="Q108" s="117">
        <v>-173.88</v>
      </c>
      <c r="R108" s="117"/>
      <c r="S108" s="117"/>
      <c r="T108" s="108"/>
      <c r="U108" s="108"/>
      <c r="V108" s="108"/>
    </row>
    <row r="109" spans="1:22" s="126" customFormat="1" ht="31.5" x14ac:dyDescent="0.25">
      <c r="A109" s="121"/>
      <c r="B109" s="276"/>
      <c r="C109" s="122" t="s">
        <v>87</v>
      </c>
      <c r="D109" s="122"/>
      <c r="E109" s="122"/>
      <c r="F109" s="242"/>
      <c r="G109" s="123"/>
      <c r="H109" s="124"/>
      <c r="I109" s="123"/>
      <c r="J109" s="123"/>
      <c r="K109" s="201"/>
      <c r="L109" s="224"/>
      <c r="M109" s="124"/>
      <c r="N109" s="123"/>
      <c r="O109" s="123"/>
      <c r="P109" s="123"/>
      <c r="Q109" s="123"/>
      <c r="R109" s="123"/>
      <c r="S109" s="123"/>
      <c r="T109" s="125"/>
      <c r="U109" s="125"/>
      <c r="V109" s="125"/>
    </row>
    <row r="110" spans="1:22" x14ac:dyDescent="0.25">
      <c r="A110" s="115"/>
      <c r="B110" s="274">
        <v>5021499000</v>
      </c>
      <c r="C110" s="127" t="s">
        <v>88</v>
      </c>
      <c r="D110" s="127"/>
      <c r="E110" s="127"/>
      <c r="F110" s="242"/>
      <c r="G110" s="132">
        <f>-'[13]CDJ LGU (VL)'!$H$12-'[18]CDJ LGU (VL)'!$H$12-'[17]CDJ LGU (VL)'!$H$12+[19]TB!$Q$122-[19]TB!$P$122-15605574.75-6987608.61+'WORKING PAPER FC1'!J4+'WORKING PAPER FC1'!T5+'WORKING PAPER FC1'!AC5-5012382.21+'WORKING PAPER FC1'!AC45-5951471.76</f>
        <v>-52158177.369999997</v>
      </c>
      <c r="H110" s="131" t="s">
        <v>34</v>
      </c>
      <c r="I110" s="117">
        <f>G110*-1</f>
        <v>52158177.369999997</v>
      </c>
      <c r="J110" s="117"/>
      <c r="K110" s="199">
        <f t="shared" ref="K110:K112" si="11">G110</f>
        <v>-52158177.369999997</v>
      </c>
      <c r="L110" s="227">
        <v>1030303000</v>
      </c>
      <c r="M110" s="128" t="s">
        <v>89</v>
      </c>
      <c r="N110" s="117"/>
      <c r="O110" s="117">
        <f t="shared" ref="O110:O115" si="12">I110</f>
        <v>52158177.369999997</v>
      </c>
      <c r="P110" s="117">
        <f>-O110+N110</f>
        <v>-52158177.369999997</v>
      </c>
      <c r="Q110" s="117"/>
      <c r="R110" s="117"/>
      <c r="S110" s="117"/>
      <c r="T110" s="108"/>
      <c r="U110" s="108"/>
      <c r="V110" s="108"/>
    </row>
    <row r="111" spans="1:22" x14ac:dyDescent="0.25">
      <c r="A111" s="115"/>
      <c r="B111" s="274">
        <v>5021499000</v>
      </c>
      <c r="C111" s="127" t="s">
        <v>90</v>
      </c>
      <c r="D111" s="127"/>
      <c r="E111" s="127"/>
      <c r="F111" s="242"/>
      <c r="G111" s="132">
        <f>-'[13]SDO-NIKKI'!$H$11-'[13]SDO-NIKKI'!$H$671-'[18]SDO-NIKKI'!$H$12-'[17]SDO-NIKKI'!$H$11-[19]TB!$N$122-8457088.15+1057600-74100-312000+'WORKING PAPER FC1'!J5+'WORKING PAPER FC1'!T4+'WORKING PAPER FC1'!AC4+2135004.86</f>
        <v>-306800533.75999999</v>
      </c>
      <c r="H111" s="131" t="s">
        <v>34</v>
      </c>
      <c r="I111" s="117">
        <f>G111*-1</f>
        <v>306800533.75999999</v>
      </c>
      <c r="J111" s="117"/>
      <c r="K111" s="199">
        <f t="shared" si="11"/>
        <v>-306800533.75999999</v>
      </c>
      <c r="L111" s="225">
        <v>1990103000</v>
      </c>
      <c r="M111" s="128" t="s">
        <v>91</v>
      </c>
      <c r="N111" s="117"/>
      <c r="O111" s="117">
        <f t="shared" si="12"/>
        <v>306800533.75999999</v>
      </c>
      <c r="P111" s="117">
        <f>-O111</f>
        <v>-306800533.75999999</v>
      </c>
      <c r="Q111" s="117"/>
      <c r="R111" s="117"/>
      <c r="S111" s="117"/>
      <c r="T111" s="108"/>
      <c r="U111" s="108"/>
      <c r="V111" s="108"/>
    </row>
    <row r="112" spans="1:22" x14ac:dyDescent="0.25">
      <c r="A112" s="115"/>
      <c r="B112" s="274">
        <v>5021499000</v>
      </c>
      <c r="C112" s="127" t="s">
        <v>92</v>
      </c>
      <c r="D112" s="127"/>
      <c r="E112" s="127"/>
      <c r="F112" s="242"/>
      <c r="G112" s="132">
        <f>-'[13]SDO-NIKKI'!$H$573-'[18]SDO-NIKKI'!$H$283-'[17]SDO-NIKKI'!$H$283-3000000-2075000+'WORKING PAPER FC1'!AC17-2135004.86-'[20]SDO-NIKKI'!$H$321-'[20]SDO-NIKKI'!$H$393-6976400</f>
        <v>-19412765.309999999</v>
      </c>
      <c r="H112" s="131" t="s">
        <v>34</v>
      </c>
      <c r="I112" s="117">
        <f>G112*-1</f>
        <v>19412765.309999999</v>
      </c>
      <c r="J112" s="117"/>
      <c r="K112" s="199">
        <f t="shared" si="11"/>
        <v>-19412765.309999999</v>
      </c>
      <c r="L112" s="225">
        <v>1010102000</v>
      </c>
      <c r="M112" s="128" t="s">
        <v>93</v>
      </c>
      <c r="N112" s="117"/>
      <c r="O112" s="117">
        <f t="shared" si="12"/>
        <v>19412765.309999999</v>
      </c>
      <c r="P112" s="117">
        <f>-O112</f>
        <v>-19412765.309999999</v>
      </c>
      <c r="Q112" s="117"/>
      <c r="R112" s="117"/>
      <c r="S112" s="117"/>
      <c r="T112" s="108"/>
      <c r="U112" s="108"/>
      <c r="V112" s="108"/>
    </row>
    <row r="113" spans="1:22" x14ac:dyDescent="0.25">
      <c r="A113" s="115"/>
      <c r="B113" s="274"/>
      <c r="C113" s="127" t="s">
        <v>92</v>
      </c>
      <c r="D113" s="127"/>
      <c r="E113" s="127"/>
      <c r="F113" s="242"/>
      <c r="G113" s="132">
        <v>-5033849.5</v>
      </c>
      <c r="H113" s="131"/>
      <c r="I113" s="117"/>
      <c r="J113" s="117"/>
      <c r="K113" s="199"/>
      <c r="L113" s="225">
        <v>1010102000</v>
      </c>
      <c r="M113" s="128" t="s">
        <v>93</v>
      </c>
      <c r="N113" s="117"/>
      <c r="O113" s="117">
        <f>G113*-1</f>
        <v>5033849.5</v>
      </c>
      <c r="P113" s="117">
        <f>-O113</f>
        <v>-5033849.5</v>
      </c>
      <c r="Q113" s="117"/>
      <c r="R113" s="117"/>
      <c r="S113" s="117">
        <v>-5033849.5</v>
      </c>
      <c r="T113" s="108"/>
      <c r="U113" s="108"/>
      <c r="V113" s="108"/>
    </row>
    <row r="114" spans="1:22" x14ac:dyDescent="0.25">
      <c r="A114" s="115"/>
      <c r="B114" s="274">
        <v>5021601000</v>
      </c>
      <c r="C114" s="127" t="s">
        <v>94</v>
      </c>
      <c r="D114" s="127"/>
      <c r="E114" s="127"/>
      <c r="F114" s="242"/>
      <c r="G114" s="132">
        <f>-'[13]SDO-NIKKI'!$H$636+'[13]SDO-NIKKI'!$I$713</f>
        <v>-177381.93</v>
      </c>
      <c r="H114" s="131" t="s">
        <v>58</v>
      </c>
      <c r="I114" s="117">
        <f>G114*-1-J114</f>
        <v>177375.49</v>
      </c>
      <c r="J114" s="117">
        <f>'[13]SDO-NIKKI'!$H$712</f>
        <v>6.44</v>
      </c>
      <c r="K114" s="199">
        <f>-I114-J114</f>
        <v>-177381.93</v>
      </c>
      <c r="L114" s="225">
        <v>1990102000</v>
      </c>
      <c r="M114" s="128" t="s">
        <v>95</v>
      </c>
      <c r="N114" s="117">
        <f>J114</f>
        <v>6.44</v>
      </c>
      <c r="O114" s="117">
        <f t="shared" si="12"/>
        <v>177375.49</v>
      </c>
      <c r="P114" s="117">
        <f>-(O114+N114)</f>
        <v>-177381.93</v>
      </c>
      <c r="Q114" s="117"/>
      <c r="R114" s="117"/>
      <c r="S114" s="117"/>
      <c r="T114" s="108"/>
      <c r="U114" s="108"/>
      <c r="V114" s="108"/>
    </row>
    <row r="115" spans="1:22" x14ac:dyDescent="0.25">
      <c r="A115" s="115"/>
      <c r="B115" s="274">
        <v>5021499000</v>
      </c>
      <c r="C115" s="127" t="s">
        <v>311</v>
      </c>
      <c r="D115" s="127"/>
      <c r="E115" s="127"/>
      <c r="F115" s="242"/>
      <c r="G115" s="132">
        <f>'WORKING PAPER FC1'!T27</f>
        <v>0</v>
      </c>
      <c r="H115" s="131" t="s">
        <v>34</v>
      </c>
      <c r="I115" s="117">
        <f>G115*-1-J115</f>
        <v>0</v>
      </c>
      <c r="J115" s="117"/>
      <c r="K115" s="199">
        <f>-I115-J115</f>
        <v>0</v>
      </c>
      <c r="L115" s="225">
        <v>1039999000</v>
      </c>
      <c r="M115" s="128" t="s">
        <v>214</v>
      </c>
      <c r="N115" s="117"/>
      <c r="O115" s="117">
        <f t="shared" si="12"/>
        <v>0</v>
      </c>
      <c r="P115" s="117">
        <f>-(O115+N115)</f>
        <v>0</v>
      </c>
      <c r="Q115" s="117"/>
      <c r="R115" s="117"/>
      <c r="S115" s="117"/>
      <c r="T115" s="108"/>
      <c r="U115" s="108"/>
      <c r="V115" s="108"/>
    </row>
    <row r="116" spans="1:22" x14ac:dyDescent="0.25">
      <c r="A116" s="115"/>
      <c r="B116" s="274">
        <v>5021499000</v>
      </c>
      <c r="C116" s="127" t="s">
        <v>310</v>
      </c>
      <c r="D116" s="127"/>
      <c r="E116" s="127"/>
      <c r="F116" s="242"/>
      <c r="G116" s="132">
        <f>'WORKING PAPER FC1'!T28+'WORKING PAPER FC1'!AC59-2738040</f>
        <v>-2738040</v>
      </c>
      <c r="H116" s="131" t="s">
        <v>34</v>
      </c>
      <c r="I116" s="117">
        <v>19626768</v>
      </c>
      <c r="J116" s="117"/>
      <c r="K116" s="199">
        <f>-I116-J116</f>
        <v>-19626768</v>
      </c>
      <c r="L116" s="225">
        <v>1030301000</v>
      </c>
      <c r="M116" s="128" t="s">
        <v>100</v>
      </c>
      <c r="N116" s="117"/>
      <c r="O116" s="117">
        <f>G116*-1</f>
        <v>2738040</v>
      </c>
      <c r="P116" s="117">
        <f>-(O116+N116)</f>
        <v>-2738040</v>
      </c>
      <c r="Q116" s="117"/>
      <c r="R116" s="117"/>
      <c r="S116" s="117"/>
      <c r="T116" s="108"/>
      <c r="U116" s="108"/>
      <c r="V116" s="108"/>
    </row>
    <row r="117" spans="1:22" x14ac:dyDescent="0.25">
      <c r="A117" s="115"/>
      <c r="B117" s="274">
        <v>1030301000</v>
      </c>
      <c r="C117" s="127" t="s">
        <v>310</v>
      </c>
      <c r="D117" s="127"/>
      <c r="E117" s="127"/>
      <c r="F117" s="242"/>
      <c r="G117" s="132">
        <f>+'WORKING PAPER FC1'!AC16</f>
        <v>0</v>
      </c>
      <c r="H117" s="131"/>
      <c r="I117" s="117"/>
      <c r="J117" s="117"/>
      <c r="K117" s="199"/>
      <c r="L117" s="225">
        <v>2020105000</v>
      </c>
      <c r="M117" s="128" t="s">
        <v>318</v>
      </c>
      <c r="N117" s="117">
        <v>9488.57</v>
      </c>
      <c r="O117" s="117"/>
      <c r="P117" s="117"/>
      <c r="Q117" s="117">
        <f>-N117</f>
        <v>-9488.57</v>
      </c>
      <c r="R117" s="117"/>
      <c r="S117" s="117">
        <f>+G117</f>
        <v>0</v>
      </c>
      <c r="T117" s="108"/>
      <c r="U117" s="108"/>
      <c r="V117" s="108"/>
    </row>
    <row r="118" spans="1:22" x14ac:dyDescent="0.25">
      <c r="A118" s="115"/>
      <c r="B118" s="274"/>
      <c r="C118" s="127" t="s">
        <v>229</v>
      </c>
      <c r="D118" s="127"/>
      <c r="E118" s="127"/>
      <c r="F118" s="242"/>
      <c r="G118" s="132">
        <v>37671.979999999996</v>
      </c>
      <c r="H118" s="131"/>
      <c r="I118" s="117"/>
      <c r="J118" s="117"/>
      <c r="K118" s="199"/>
      <c r="L118" s="225"/>
      <c r="M118" s="128" t="s">
        <v>228</v>
      </c>
      <c r="N118" s="117">
        <v>37671.979999999996</v>
      </c>
      <c r="O118" s="117"/>
      <c r="P118" s="117"/>
      <c r="Q118" s="117">
        <v>-37671.979999999996</v>
      </c>
      <c r="R118" s="117"/>
      <c r="S118" s="117">
        <v>37671.979999999996</v>
      </c>
      <c r="T118" s="108"/>
      <c r="U118" s="108"/>
      <c r="V118" s="108"/>
    </row>
    <row r="119" spans="1:22" ht="31.5" x14ac:dyDescent="0.25">
      <c r="A119" s="115"/>
      <c r="B119" s="274"/>
      <c r="C119" s="127" t="s">
        <v>384</v>
      </c>
      <c r="D119" s="127"/>
      <c r="E119" s="127"/>
      <c r="F119" s="242"/>
      <c r="G119" s="132">
        <v>690782.57</v>
      </c>
      <c r="H119" s="131" t="s">
        <v>34</v>
      </c>
      <c r="I119" s="117"/>
      <c r="J119" s="117">
        <v>690782.57</v>
      </c>
      <c r="K119" s="199">
        <v>690782.57</v>
      </c>
      <c r="L119" s="225"/>
      <c r="M119" s="128" t="s">
        <v>89</v>
      </c>
      <c r="N119" s="117">
        <v>690782.57</v>
      </c>
      <c r="O119" s="117"/>
      <c r="P119" s="117">
        <v>690782.57</v>
      </c>
      <c r="Q119" s="117"/>
      <c r="R119" s="117"/>
      <c r="S119" s="117"/>
      <c r="T119" s="108"/>
      <c r="U119" s="108"/>
      <c r="V119" s="108"/>
    </row>
    <row r="120" spans="1:22" ht="31.5" x14ac:dyDescent="0.25">
      <c r="A120" s="115"/>
      <c r="B120" s="274"/>
      <c r="C120" s="127" t="s">
        <v>137</v>
      </c>
      <c r="D120" s="127"/>
      <c r="E120" s="127"/>
      <c r="F120" s="242"/>
      <c r="G120" s="132">
        <v>-221125826.09</v>
      </c>
      <c r="H120" s="131" t="s">
        <v>34</v>
      </c>
      <c r="I120" s="117">
        <v>221125826.09</v>
      </c>
      <c r="J120" s="117"/>
      <c r="K120" s="199">
        <v>-221125826.09</v>
      </c>
      <c r="L120" s="225"/>
      <c r="M120" s="128" t="s">
        <v>89</v>
      </c>
      <c r="N120" s="117"/>
      <c r="O120" s="117">
        <v>221125826.09</v>
      </c>
      <c r="P120" s="117">
        <v>-221125826.09</v>
      </c>
      <c r="Q120" s="117"/>
      <c r="R120" s="117"/>
      <c r="S120" s="117"/>
      <c r="T120" s="108"/>
      <c r="U120" s="108"/>
      <c r="V120" s="108"/>
    </row>
    <row r="121" spans="1:22" ht="31.5" x14ac:dyDescent="0.25">
      <c r="A121" s="115"/>
      <c r="B121" s="274"/>
      <c r="C121" s="127" t="s">
        <v>362</v>
      </c>
      <c r="D121" s="127"/>
      <c r="E121" s="127"/>
      <c r="F121" s="242"/>
      <c r="G121" s="132">
        <v>-2622093.7599999998</v>
      </c>
      <c r="H121" s="131" t="s">
        <v>34</v>
      </c>
      <c r="I121" s="117">
        <v>2622093.7599999998</v>
      </c>
      <c r="J121" s="117"/>
      <c r="K121" s="199">
        <v>-2622093.7599999998</v>
      </c>
      <c r="L121" s="225"/>
      <c r="M121" s="128" t="s">
        <v>364</v>
      </c>
      <c r="N121" s="117"/>
      <c r="O121" s="117">
        <v>2622093.7599999998</v>
      </c>
      <c r="P121" s="117">
        <v>-2622093.7599999998</v>
      </c>
      <c r="Q121" s="117"/>
      <c r="R121" s="117"/>
      <c r="S121" s="117"/>
      <c r="T121" s="108"/>
      <c r="U121" s="108"/>
      <c r="V121" s="108"/>
    </row>
    <row r="122" spans="1:22" x14ac:dyDescent="0.25">
      <c r="A122" s="115"/>
      <c r="B122" s="274"/>
      <c r="C122" s="122" t="s">
        <v>101</v>
      </c>
      <c r="D122" s="122"/>
      <c r="E122" s="122"/>
      <c r="F122" s="242"/>
      <c r="G122" s="132"/>
      <c r="H122" s="131"/>
      <c r="I122" s="117"/>
      <c r="J122" s="117"/>
      <c r="K122" s="199"/>
      <c r="L122" s="225"/>
      <c r="M122" s="128"/>
      <c r="N122" s="117"/>
      <c r="O122" s="117"/>
      <c r="P122" s="117"/>
      <c r="Q122" s="117"/>
      <c r="R122" s="117"/>
      <c r="S122" s="117"/>
      <c r="T122" s="108"/>
      <c r="U122" s="108"/>
      <c r="V122" s="108"/>
    </row>
    <row r="123" spans="1:22" x14ac:dyDescent="0.25">
      <c r="A123" s="115"/>
      <c r="B123" s="274">
        <v>5021199000</v>
      </c>
      <c r="C123" s="116" t="s">
        <v>244</v>
      </c>
      <c r="D123" s="116"/>
      <c r="E123" s="116"/>
      <c r="F123" s="242"/>
      <c r="G123" s="132">
        <f>'[13]JEV-GJ.'!$I$1840+'WORKING PAPER FC1'!T11</f>
        <v>83059.5</v>
      </c>
      <c r="H123" s="116" t="s">
        <v>53</v>
      </c>
      <c r="I123" s="132"/>
      <c r="J123" s="117">
        <f>G123</f>
        <v>83059.5</v>
      </c>
      <c r="K123" s="199">
        <f>G123</f>
        <v>83059.5</v>
      </c>
      <c r="L123" s="225">
        <v>2010101000</v>
      </c>
      <c r="M123" s="128" t="s">
        <v>114</v>
      </c>
      <c r="N123" s="117">
        <f>J123</f>
        <v>83059.5</v>
      </c>
      <c r="O123" s="117"/>
      <c r="P123" s="117">
        <f>-O123</f>
        <v>0</v>
      </c>
      <c r="Q123" s="117">
        <f>-N123</f>
        <v>-83059.5</v>
      </c>
      <c r="R123" s="117"/>
      <c r="S123" s="117"/>
      <c r="T123" s="108"/>
      <c r="U123" s="108"/>
      <c r="V123" s="108"/>
    </row>
    <row r="124" spans="1:22" hidden="1" x14ac:dyDescent="0.25">
      <c r="A124" s="115"/>
      <c r="B124" s="274"/>
      <c r="C124" s="116"/>
      <c r="D124" s="116"/>
      <c r="E124" s="116"/>
      <c r="F124" s="242"/>
      <c r="G124" s="132"/>
      <c r="H124" s="116"/>
      <c r="I124" s="117"/>
      <c r="J124" s="117"/>
      <c r="K124" s="199"/>
      <c r="L124" s="225"/>
      <c r="M124" s="128"/>
      <c r="N124" s="117"/>
      <c r="O124" s="117"/>
      <c r="P124" s="117"/>
      <c r="Q124" s="117"/>
      <c r="R124" s="117"/>
      <c r="S124" s="117"/>
      <c r="T124" s="108"/>
      <c r="U124" s="108"/>
      <c r="V124" s="108"/>
    </row>
    <row r="125" spans="1:22" x14ac:dyDescent="0.25">
      <c r="A125" s="115"/>
      <c r="B125" s="274"/>
      <c r="C125" s="116" t="s">
        <v>347</v>
      </c>
      <c r="D125" s="116"/>
      <c r="E125" s="116"/>
      <c r="F125" s="242"/>
      <c r="G125" s="132">
        <f>'[18]JEV-GJ.'!$I$4481</f>
        <v>605907.75</v>
      </c>
      <c r="H125" s="116"/>
      <c r="I125" s="132"/>
      <c r="J125" s="117"/>
      <c r="K125" s="199"/>
      <c r="L125" s="225">
        <v>1060601000</v>
      </c>
      <c r="M125" s="128" t="s">
        <v>106</v>
      </c>
      <c r="N125" s="117">
        <v>605907.75</v>
      </c>
      <c r="O125" s="117"/>
      <c r="P125" s="117">
        <f t="shared" ref="P125:P129" si="13">N125</f>
        <v>605907.75</v>
      </c>
      <c r="Q125" s="117"/>
      <c r="R125" s="117"/>
      <c r="S125" s="117">
        <v>605907.75</v>
      </c>
      <c r="T125" s="108"/>
      <c r="U125" s="108"/>
      <c r="V125" s="108"/>
    </row>
    <row r="126" spans="1:22" x14ac:dyDescent="0.25">
      <c r="A126" s="115"/>
      <c r="B126" s="274"/>
      <c r="C126" s="116" t="s">
        <v>348</v>
      </c>
      <c r="D126" s="116">
        <v>-605907.75</v>
      </c>
      <c r="E126" s="116"/>
      <c r="F126" s="242"/>
      <c r="G126" s="132">
        <v>-605907.75</v>
      </c>
      <c r="H126" s="116"/>
      <c r="I126" s="132"/>
      <c r="J126" s="117"/>
      <c r="K126" s="199"/>
      <c r="L126" s="225"/>
      <c r="M126" s="128"/>
      <c r="N126" s="117"/>
      <c r="O126" s="117"/>
      <c r="P126" s="117">
        <v>-605907.75</v>
      </c>
      <c r="Q126" s="117"/>
      <c r="R126" s="117"/>
      <c r="S126" s="117">
        <v>-605907.75</v>
      </c>
      <c r="T126" s="108"/>
      <c r="U126" s="108"/>
      <c r="V126" s="108"/>
    </row>
    <row r="127" spans="1:22" ht="31.5" x14ac:dyDescent="0.25">
      <c r="A127" s="115"/>
      <c r="B127" s="274"/>
      <c r="C127" s="116" t="s">
        <v>345</v>
      </c>
      <c r="D127" s="116"/>
      <c r="E127" s="116"/>
      <c r="F127" s="242"/>
      <c r="G127" s="132">
        <v>27735</v>
      </c>
      <c r="H127" s="116" t="s">
        <v>69</v>
      </c>
      <c r="I127" s="132"/>
      <c r="J127" s="117">
        <v>27735</v>
      </c>
      <c r="K127" s="199">
        <v>27735</v>
      </c>
      <c r="L127" s="225"/>
      <c r="M127" s="128" t="s">
        <v>386</v>
      </c>
      <c r="N127" s="117">
        <v>27735</v>
      </c>
      <c r="O127" s="117"/>
      <c r="P127" s="117">
        <v>27735</v>
      </c>
      <c r="Q127" s="117"/>
      <c r="R127" s="117"/>
      <c r="S127" s="117"/>
      <c r="T127" s="108"/>
      <c r="U127" s="108"/>
      <c r="V127" s="108"/>
    </row>
    <row r="128" spans="1:22" x14ac:dyDescent="0.25">
      <c r="A128" s="115"/>
      <c r="B128" s="274"/>
      <c r="C128" s="116" t="s">
        <v>345</v>
      </c>
      <c r="D128" s="116"/>
      <c r="E128" s="116"/>
      <c r="F128" s="242"/>
      <c r="G128" s="132">
        <v>34598.18</v>
      </c>
      <c r="H128" s="116" t="s">
        <v>385</v>
      </c>
      <c r="I128" s="132"/>
      <c r="J128" s="117">
        <v>34598.18</v>
      </c>
      <c r="K128" s="199">
        <v>34598.18</v>
      </c>
      <c r="L128" s="225"/>
      <c r="M128" s="128" t="s">
        <v>387</v>
      </c>
      <c r="N128" s="117">
        <v>34598.18</v>
      </c>
      <c r="O128" s="117"/>
      <c r="P128" s="117">
        <v>34598.18</v>
      </c>
      <c r="Q128" s="117"/>
      <c r="R128" s="117"/>
      <c r="S128" s="117"/>
      <c r="T128" s="108"/>
      <c r="U128" s="108"/>
      <c r="V128" s="108"/>
    </row>
    <row r="129" spans="1:22" x14ac:dyDescent="0.25">
      <c r="A129" s="115"/>
      <c r="B129" s="274">
        <v>5021499000</v>
      </c>
      <c r="C129" s="116" t="s">
        <v>245</v>
      </c>
      <c r="D129" s="116"/>
      <c r="E129" s="116"/>
      <c r="F129" s="242"/>
      <c r="G129" s="132">
        <v>-503000</v>
      </c>
      <c r="H129" s="116" t="s">
        <v>34</v>
      </c>
      <c r="I129" s="117">
        <f>G129*-1-J129</f>
        <v>503000</v>
      </c>
      <c r="J129" s="117"/>
      <c r="K129" s="199">
        <f>G129</f>
        <v>-503000</v>
      </c>
      <c r="L129" s="225">
        <v>2010101000</v>
      </c>
      <c r="M129" s="128" t="s">
        <v>25</v>
      </c>
      <c r="N129" s="117"/>
      <c r="O129" s="117">
        <f>I129</f>
        <v>503000</v>
      </c>
      <c r="P129" s="117">
        <f t="shared" si="13"/>
        <v>0</v>
      </c>
      <c r="Q129" s="117">
        <f>O129</f>
        <v>503000</v>
      </c>
      <c r="R129" s="117"/>
      <c r="S129" s="117"/>
      <c r="T129" s="108"/>
      <c r="U129" s="108"/>
      <c r="V129" s="108"/>
    </row>
    <row r="130" spans="1:22" ht="47.25" x14ac:dyDescent="0.25">
      <c r="A130" s="115"/>
      <c r="B130" s="274">
        <v>2010101000</v>
      </c>
      <c r="C130" s="116" t="s">
        <v>331</v>
      </c>
      <c r="D130" s="116"/>
      <c r="E130" s="116"/>
      <c r="F130" s="242"/>
      <c r="G130" s="132">
        <v>447376.38</v>
      </c>
      <c r="H130" s="116"/>
      <c r="I130" s="117"/>
      <c r="J130" s="117"/>
      <c r="K130" s="199"/>
      <c r="L130" s="225">
        <v>2010101000</v>
      </c>
      <c r="M130" s="128" t="s">
        <v>25</v>
      </c>
      <c r="N130" s="117">
        <f>G130</f>
        <v>447376.38</v>
      </c>
      <c r="O130" s="117"/>
      <c r="P130" s="117"/>
      <c r="Q130" s="117">
        <f>N130*-1</f>
        <v>-447376.38</v>
      </c>
      <c r="R130" s="117"/>
      <c r="S130" s="117">
        <f>+N130</f>
        <v>447376.38</v>
      </c>
      <c r="T130" s="108"/>
      <c r="U130" s="108"/>
      <c r="V130" s="108"/>
    </row>
    <row r="131" spans="1:22" ht="31.5" x14ac:dyDescent="0.25">
      <c r="A131" s="115"/>
      <c r="B131" s="274">
        <v>4069999000</v>
      </c>
      <c r="C131" s="116" t="s">
        <v>259</v>
      </c>
      <c r="D131" s="116"/>
      <c r="E131" s="116"/>
      <c r="F131" s="242">
        <f>IFERROR(VLOOKUP(B131,'WORKING PAPER FC1'!$I$11:$J$12,2,FALSE),0)</f>
        <v>0</v>
      </c>
      <c r="G131" s="132">
        <f>-45000-300</f>
        <v>-45300</v>
      </c>
      <c r="H131" s="116"/>
      <c r="I131" s="117"/>
      <c r="J131" s="117"/>
      <c r="K131" s="199"/>
      <c r="L131" s="225">
        <v>1010202016</v>
      </c>
      <c r="M131" s="128" t="s">
        <v>219</v>
      </c>
      <c r="N131" s="117"/>
      <c r="O131" s="117">
        <f>G131*-1</f>
        <v>45300</v>
      </c>
      <c r="P131" s="117">
        <f>-O131</f>
        <v>-45300</v>
      </c>
      <c r="Q131" s="117"/>
      <c r="R131" s="117"/>
      <c r="S131" s="117">
        <v>-45300</v>
      </c>
      <c r="T131" s="108"/>
      <c r="U131" s="108"/>
      <c r="V131" s="108"/>
    </row>
    <row r="132" spans="1:22" ht="31.5" x14ac:dyDescent="0.25">
      <c r="A132" s="115"/>
      <c r="B132" s="274">
        <v>2020102001</v>
      </c>
      <c r="C132" s="116" t="s">
        <v>279</v>
      </c>
      <c r="D132" s="116"/>
      <c r="E132" s="116"/>
      <c r="F132" s="242">
        <f>IFERROR(VLOOKUP(B132,'WORKING PAPER FC1'!$I$11:$J$12,2,FALSE),0)</f>
        <v>0</v>
      </c>
      <c r="G132" s="132">
        <f>60764.22</f>
        <v>60764.22</v>
      </c>
      <c r="H132" s="116" t="s">
        <v>277</v>
      </c>
      <c r="I132" s="117">
        <f>G132</f>
        <v>60764.22</v>
      </c>
      <c r="J132" s="117"/>
      <c r="K132" s="199">
        <f>-I132</f>
        <v>-60764.22</v>
      </c>
      <c r="L132" s="225">
        <v>5010102000</v>
      </c>
      <c r="M132" s="128" t="s">
        <v>278</v>
      </c>
      <c r="N132" s="117"/>
      <c r="O132" s="117">
        <f>G132</f>
        <v>60764.22</v>
      </c>
      <c r="P132" s="117"/>
      <c r="Q132" s="117">
        <f>-O132</f>
        <v>-60764.22</v>
      </c>
      <c r="R132" s="117"/>
      <c r="S132" s="117"/>
      <c r="T132" s="108"/>
      <c r="U132" s="108"/>
      <c r="V132" s="108"/>
    </row>
    <row r="133" spans="1:22" ht="31.5" x14ac:dyDescent="0.25">
      <c r="A133" s="115"/>
      <c r="B133" s="274">
        <v>2020103002</v>
      </c>
      <c r="C133" s="116" t="s">
        <v>330</v>
      </c>
      <c r="D133" s="116"/>
      <c r="E133" s="116"/>
      <c r="F133" s="242"/>
      <c r="G133" s="132">
        <v>63102.31</v>
      </c>
      <c r="H133" s="116"/>
      <c r="I133" s="117"/>
      <c r="J133" s="117"/>
      <c r="K133" s="199"/>
      <c r="L133" s="225">
        <v>2020103002</v>
      </c>
      <c r="M133" s="116" t="s">
        <v>281</v>
      </c>
      <c r="N133" s="117">
        <f>G133</f>
        <v>63102.31</v>
      </c>
      <c r="O133" s="117"/>
      <c r="P133" s="117"/>
      <c r="Q133" s="117">
        <f>-N133</f>
        <v>-63102.31</v>
      </c>
      <c r="R133" s="117"/>
      <c r="S133" s="117">
        <v>63102.31</v>
      </c>
      <c r="T133" s="108"/>
      <c r="U133" s="108"/>
      <c r="V133" s="108"/>
    </row>
    <row r="134" spans="1:22" ht="31.5" x14ac:dyDescent="0.25">
      <c r="A134" s="115"/>
      <c r="B134" s="274">
        <v>2020103002</v>
      </c>
      <c r="C134" s="116" t="s">
        <v>280</v>
      </c>
      <c r="D134" s="116"/>
      <c r="E134" s="116"/>
      <c r="F134" s="242">
        <f>IFERROR(VLOOKUP(B134,'WORKING PAPER FC1'!$I$11:$J$12,2,FALSE),0)</f>
        <v>0</v>
      </c>
      <c r="G134" s="132">
        <f>3592.5</f>
        <v>3592.5</v>
      </c>
      <c r="H134" s="116" t="s">
        <v>281</v>
      </c>
      <c r="I134" s="117">
        <f>G134</f>
        <v>3592.5</v>
      </c>
      <c r="J134" s="117"/>
      <c r="K134" s="199">
        <f>-G134</f>
        <v>-3592.5</v>
      </c>
      <c r="L134" s="225">
        <v>5010102000</v>
      </c>
      <c r="M134" s="128" t="s">
        <v>278</v>
      </c>
      <c r="N134" s="117"/>
      <c r="O134" s="117">
        <f>G134</f>
        <v>3592.5</v>
      </c>
      <c r="P134" s="117"/>
      <c r="Q134" s="117">
        <f>-O134</f>
        <v>-3592.5</v>
      </c>
      <c r="R134" s="117"/>
      <c r="S134" s="117"/>
      <c r="T134" s="108"/>
      <c r="U134" s="108"/>
      <c r="V134" s="108"/>
    </row>
    <row r="135" spans="1:22" x14ac:dyDescent="0.25">
      <c r="A135" s="115"/>
      <c r="B135" s="274">
        <v>2020103001</v>
      </c>
      <c r="C135" s="116" t="s">
        <v>282</v>
      </c>
      <c r="D135" s="116"/>
      <c r="E135" s="116"/>
      <c r="F135" s="242">
        <f>IFERROR(VLOOKUP(B135,'WORKING PAPER FC1'!$I$11:$J$12,2,FALSE),0)</f>
        <v>0</v>
      </c>
      <c r="G135" s="132">
        <v>2500</v>
      </c>
      <c r="H135" s="116" t="s">
        <v>283</v>
      </c>
      <c r="I135" s="117">
        <f>G135</f>
        <v>2500</v>
      </c>
      <c r="J135" s="117"/>
      <c r="K135" s="199">
        <f>-G135</f>
        <v>-2500</v>
      </c>
      <c r="L135" s="225">
        <v>5010102000</v>
      </c>
      <c r="M135" s="128" t="s">
        <v>278</v>
      </c>
      <c r="N135" s="117"/>
      <c r="O135" s="117">
        <f>G135</f>
        <v>2500</v>
      </c>
      <c r="P135" s="117"/>
      <c r="Q135" s="117">
        <f>-O135</f>
        <v>-2500</v>
      </c>
      <c r="R135" s="117"/>
      <c r="S135" s="117"/>
      <c r="T135" s="108"/>
      <c r="U135" s="108"/>
      <c r="V135" s="108"/>
    </row>
    <row r="136" spans="1:22" x14ac:dyDescent="0.25">
      <c r="A136" s="115"/>
      <c r="B136" s="274">
        <v>2020103001</v>
      </c>
      <c r="C136" s="116" t="s">
        <v>284</v>
      </c>
      <c r="D136" s="116"/>
      <c r="E136" s="116"/>
      <c r="F136" s="242">
        <f>IFERROR(VLOOKUP(B136,'WORKING PAPER FC1'!$I$11:$J$12,2,FALSE),0)</f>
        <v>0</v>
      </c>
      <c r="G136" s="132">
        <v>4600</v>
      </c>
      <c r="H136" s="116" t="s">
        <v>283</v>
      </c>
      <c r="I136" s="117">
        <v>4600</v>
      </c>
      <c r="J136" s="117"/>
      <c r="K136" s="199">
        <f>-G136</f>
        <v>-4600</v>
      </c>
      <c r="L136" s="225">
        <v>5010302001</v>
      </c>
      <c r="M136" s="128" t="s">
        <v>285</v>
      </c>
      <c r="N136" s="117"/>
      <c r="O136" s="117">
        <f>G136</f>
        <v>4600</v>
      </c>
      <c r="P136" s="117"/>
      <c r="Q136" s="117">
        <f>-O136</f>
        <v>-4600</v>
      </c>
      <c r="R136" s="117"/>
      <c r="S136" s="117"/>
      <c r="T136" s="108"/>
      <c r="U136" s="108"/>
      <c r="V136" s="108"/>
    </row>
    <row r="137" spans="1:22" ht="31.5" x14ac:dyDescent="0.25">
      <c r="A137" s="115"/>
      <c r="B137" s="274">
        <v>2020104000</v>
      </c>
      <c r="C137" s="116" t="s">
        <v>286</v>
      </c>
      <c r="D137" s="116"/>
      <c r="E137" s="116"/>
      <c r="F137" s="242">
        <f>IFERROR(VLOOKUP(B137,'WORKING PAPER FC1'!$I$11:$J$12,2,FALSE),0)</f>
        <v>0</v>
      </c>
      <c r="G137" s="132">
        <f>92570.12+13503.16</f>
        <v>106073.28</v>
      </c>
      <c r="H137" s="116" t="s">
        <v>287</v>
      </c>
      <c r="I137" s="117">
        <f>G137</f>
        <v>106073.28</v>
      </c>
      <c r="J137" s="117"/>
      <c r="K137" s="199">
        <f>-G137</f>
        <v>-106073.28</v>
      </c>
      <c r="L137" s="225">
        <v>5010102000</v>
      </c>
      <c r="M137" s="128" t="s">
        <v>278</v>
      </c>
      <c r="N137" s="117"/>
      <c r="O137" s="117">
        <f>G137</f>
        <v>106073.28</v>
      </c>
      <c r="P137" s="117"/>
      <c r="Q137" s="117">
        <f>-O137</f>
        <v>-106073.28</v>
      </c>
      <c r="R137" s="117"/>
      <c r="S137" s="117"/>
      <c r="T137" s="108"/>
      <c r="U137" s="108"/>
      <c r="V137" s="108"/>
    </row>
    <row r="138" spans="1:22" ht="31.5" x14ac:dyDescent="0.25">
      <c r="A138" s="115"/>
      <c r="B138" s="274">
        <v>5030104000</v>
      </c>
      <c r="C138" s="116" t="s">
        <v>312</v>
      </c>
      <c r="D138" s="116"/>
      <c r="E138" s="116"/>
      <c r="F138" s="242"/>
      <c r="G138" s="132">
        <v>-30</v>
      </c>
      <c r="H138" s="116"/>
      <c r="I138" s="117"/>
      <c r="J138" s="117"/>
      <c r="K138" s="199"/>
      <c r="L138" s="225">
        <v>1010202024</v>
      </c>
      <c r="M138" s="128" t="s">
        <v>313</v>
      </c>
      <c r="N138" s="117"/>
      <c r="O138" s="117">
        <v>30</v>
      </c>
      <c r="P138" s="117"/>
      <c r="Q138" s="117">
        <v>30</v>
      </c>
      <c r="R138" s="117"/>
      <c r="S138" s="117">
        <v>-30</v>
      </c>
      <c r="T138" s="108"/>
      <c r="U138" s="108"/>
      <c r="V138" s="108"/>
    </row>
    <row r="139" spans="1:22" ht="31.5" x14ac:dyDescent="0.25">
      <c r="A139" s="115"/>
      <c r="B139" s="274">
        <v>1039903000</v>
      </c>
      <c r="C139" s="116" t="s">
        <v>321</v>
      </c>
      <c r="D139" s="116"/>
      <c r="E139" s="116"/>
      <c r="F139" s="242"/>
      <c r="G139" s="132">
        <v>26114126.309999999</v>
      </c>
      <c r="H139" s="116"/>
      <c r="I139" s="117"/>
      <c r="J139" s="117"/>
      <c r="K139" s="199"/>
      <c r="L139" s="195">
        <v>1039903000</v>
      </c>
      <c r="M139" s="128" t="s">
        <v>324</v>
      </c>
      <c r="N139" s="117">
        <f>G139</f>
        <v>26114126.309999999</v>
      </c>
      <c r="O139" s="117"/>
      <c r="P139" s="117">
        <f>N139</f>
        <v>26114126.309999999</v>
      </c>
      <c r="Q139" s="117"/>
      <c r="R139" s="117"/>
      <c r="S139" s="117"/>
      <c r="T139" s="108"/>
      <c r="U139" s="108"/>
      <c r="V139" s="108"/>
    </row>
    <row r="140" spans="1:22" ht="31.5" x14ac:dyDescent="0.25">
      <c r="A140" s="115"/>
      <c r="B140" s="274">
        <v>1990202000</v>
      </c>
      <c r="C140" s="116" t="s">
        <v>322</v>
      </c>
      <c r="D140" s="116"/>
      <c r="E140" s="116"/>
      <c r="F140" s="116"/>
      <c r="G140" s="132">
        <v>5438.57</v>
      </c>
      <c r="H140" s="116"/>
      <c r="I140" s="117"/>
      <c r="J140" s="117"/>
      <c r="K140" s="199"/>
      <c r="L140" s="195">
        <v>1990202000</v>
      </c>
      <c r="M140" s="128" t="s">
        <v>323</v>
      </c>
      <c r="N140" s="117">
        <f>G140</f>
        <v>5438.57</v>
      </c>
      <c r="O140" s="117"/>
      <c r="P140" s="117">
        <f>N140</f>
        <v>5438.57</v>
      </c>
      <c r="Q140" s="117"/>
      <c r="R140" s="117"/>
      <c r="S140" s="117"/>
      <c r="T140" s="108"/>
      <c r="U140" s="108"/>
      <c r="V140" s="108"/>
    </row>
    <row r="141" spans="1:22" ht="47.25" x14ac:dyDescent="0.25">
      <c r="A141" s="115"/>
      <c r="B141" s="274">
        <v>2040104000</v>
      </c>
      <c r="C141" s="116" t="s">
        <v>341</v>
      </c>
      <c r="D141" s="116"/>
      <c r="E141" s="116"/>
      <c r="F141" s="116"/>
      <c r="G141" s="132">
        <v>-8699.83</v>
      </c>
      <c r="H141" s="116" t="s">
        <v>342</v>
      </c>
      <c r="I141" s="117">
        <v>8699.83</v>
      </c>
      <c r="J141" s="117"/>
      <c r="K141" s="199">
        <v>-8699.83</v>
      </c>
      <c r="L141" s="195">
        <v>2040104000</v>
      </c>
      <c r="M141" s="128" t="s">
        <v>343</v>
      </c>
      <c r="N141" s="117"/>
      <c r="O141" s="117">
        <v>8699.83</v>
      </c>
      <c r="P141" s="117"/>
      <c r="Q141" s="117">
        <f>O141</f>
        <v>8699.83</v>
      </c>
      <c r="R141" s="117"/>
      <c r="S141" s="117"/>
      <c r="T141" s="108"/>
      <c r="U141" s="108"/>
      <c r="V141" s="108"/>
    </row>
    <row r="142" spans="1:22" x14ac:dyDescent="0.25">
      <c r="A142" s="115"/>
      <c r="B142" s="274"/>
      <c r="C142" s="116" t="s">
        <v>248</v>
      </c>
      <c r="D142" s="116"/>
      <c r="E142" s="116"/>
      <c r="F142" s="116"/>
      <c r="G142" s="132">
        <v>4200</v>
      </c>
      <c r="H142" s="116"/>
      <c r="I142" s="117"/>
      <c r="J142" s="117"/>
      <c r="K142" s="199"/>
      <c r="L142" s="195"/>
      <c r="M142" s="128" t="s">
        <v>236</v>
      </c>
      <c r="N142" s="117">
        <v>4200</v>
      </c>
      <c r="O142" s="117"/>
      <c r="P142" s="117"/>
      <c r="Q142" s="117">
        <v>-4200</v>
      </c>
      <c r="R142" s="117"/>
      <c r="S142" s="117">
        <v>4200</v>
      </c>
      <c r="T142" s="108"/>
      <c r="U142" s="108"/>
      <c r="V142" s="108"/>
    </row>
    <row r="143" spans="1:22" ht="31.5" x14ac:dyDescent="0.25">
      <c r="A143" s="115"/>
      <c r="B143" s="274"/>
      <c r="C143" s="116" t="s">
        <v>254</v>
      </c>
      <c r="D143" s="116"/>
      <c r="E143" s="116"/>
      <c r="F143" s="116"/>
      <c r="G143" s="132">
        <v>-1723.1999999999971</v>
      </c>
      <c r="H143" s="116"/>
      <c r="I143" s="117"/>
      <c r="J143" s="117"/>
      <c r="K143" s="199"/>
      <c r="L143" s="195"/>
      <c r="M143" s="128" t="s">
        <v>219</v>
      </c>
      <c r="N143" s="117"/>
      <c r="O143" s="117">
        <v>1723.2</v>
      </c>
      <c r="P143" s="117"/>
      <c r="Q143" s="117">
        <v>1723.2</v>
      </c>
      <c r="R143" s="117"/>
      <c r="S143" s="117">
        <v>-1723.1999999999971</v>
      </c>
      <c r="T143" s="108"/>
      <c r="U143" s="108"/>
      <c r="V143" s="108"/>
    </row>
    <row r="144" spans="1:22" ht="31.5" x14ac:dyDescent="0.25">
      <c r="A144" s="115"/>
      <c r="B144" s="274"/>
      <c r="C144" s="116" t="s">
        <v>274</v>
      </c>
      <c r="D144" s="116"/>
      <c r="E144" s="116"/>
      <c r="F144" s="116"/>
      <c r="G144" s="132">
        <v>-600</v>
      </c>
      <c r="H144" s="116"/>
      <c r="I144" s="117"/>
      <c r="J144" s="117"/>
      <c r="K144" s="199"/>
      <c r="L144" s="195"/>
      <c r="M144" s="128" t="s">
        <v>236</v>
      </c>
      <c r="N144" s="117">
        <v>600</v>
      </c>
      <c r="O144" s="117"/>
      <c r="P144" s="117"/>
      <c r="Q144" s="117">
        <v>-600</v>
      </c>
      <c r="R144" s="117"/>
      <c r="S144" s="117">
        <v>-600</v>
      </c>
      <c r="T144" s="108"/>
      <c r="U144" s="108"/>
      <c r="V144" s="108"/>
    </row>
    <row r="145" spans="1:22" ht="31.5" x14ac:dyDescent="0.25">
      <c r="A145" s="115"/>
      <c r="B145" s="274"/>
      <c r="C145" s="116" t="s">
        <v>274</v>
      </c>
      <c r="D145" s="116"/>
      <c r="E145" s="116"/>
      <c r="F145" s="116"/>
      <c r="G145" s="132">
        <v>600</v>
      </c>
      <c r="H145" s="116"/>
      <c r="I145" s="117"/>
      <c r="J145" s="117"/>
      <c r="K145" s="199"/>
      <c r="L145" s="195"/>
      <c r="M145" s="128" t="s">
        <v>273</v>
      </c>
      <c r="N145" s="117"/>
      <c r="O145" s="117">
        <v>600</v>
      </c>
      <c r="P145" s="117"/>
      <c r="Q145" s="117">
        <v>600</v>
      </c>
      <c r="R145" s="117"/>
      <c r="S145" s="117">
        <v>600</v>
      </c>
      <c r="T145" s="108"/>
      <c r="U145" s="108"/>
      <c r="V145" s="108"/>
    </row>
    <row r="146" spans="1:22" ht="31.5" x14ac:dyDescent="0.25">
      <c r="A146" s="115"/>
      <c r="B146" s="274"/>
      <c r="C146" s="116" t="s">
        <v>288</v>
      </c>
      <c r="D146" s="116"/>
      <c r="E146" s="116"/>
      <c r="F146" s="116"/>
      <c r="G146" s="132">
        <v>14217.17</v>
      </c>
      <c r="H146" s="116"/>
      <c r="I146" s="117"/>
      <c r="J146" s="117"/>
      <c r="K146" s="199"/>
      <c r="L146" s="195"/>
      <c r="M146" s="128" t="s">
        <v>53</v>
      </c>
      <c r="N146" s="117">
        <v>14217.17</v>
      </c>
      <c r="O146" s="117"/>
      <c r="P146" s="117"/>
      <c r="Q146" s="117">
        <v>-14217.17</v>
      </c>
      <c r="R146" s="117"/>
      <c r="S146" s="117">
        <v>14217.17</v>
      </c>
      <c r="T146" s="108"/>
      <c r="U146" s="108"/>
      <c r="V146" s="108"/>
    </row>
    <row r="147" spans="1:22" ht="31.5" x14ac:dyDescent="0.25">
      <c r="A147" s="115"/>
      <c r="B147" s="274"/>
      <c r="C147" s="116" t="s">
        <v>314</v>
      </c>
      <c r="D147" s="116"/>
      <c r="E147" s="116"/>
      <c r="F147" s="116"/>
      <c r="G147" s="132">
        <v>2099590.04</v>
      </c>
      <c r="H147" s="116"/>
      <c r="I147" s="117"/>
      <c r="J147" s="117"/>
      <c r="K147" s="199"/>
      <c r="L147" s="195"/>
      <c r="M147" s="128" t="s">
        <v>315</v>
      </c>
      <c r="N147" s="117">
        <v>2099590.04</v>
      </c>
      <c r="O147" s="117"/>
      <c r="P147" s="117"/>
      <c r="Q147" s="117">
        <v>-2099590.04</v>
      </c>
      <c r="R147" s="117"/>
      <c r="S147" s="117">
        <v>2099590.04</v>
      </c>
      <c r="T147" s="108"/>
      <c r="U147" s="108"/>
      <c r="V147" s="108"/>
    </row>
    <row r="148" spans="1:22" ht="63" x14ac:dyDescent="0.25">
      <c r="A148" s="115"/>
      <c r="B148" s="274"/>
      <c r="C148" s="116" t="s">
        <v>332</v>
      </c>
      <c r="D148" s="116"/>
      <c r="E148" s="116"/>
      <c r="F148" s="116"/>
      <c r="G148" s="132">
        <v>13270.88</v>
      </c>
      <c r="H148" s="116"/>
      <c r="I148" s="117"/>
      <c r="J148" s="117"/>
      <c r="K148" s="199"/>
      <c r="L148" s="195"/>
      <c r="M148" s="128" t="s">
        <v>174</v>
      </c>
      <c r="N148" s="117">
        <v>13270.88</v>
      </c>
      <c r="O148" s="117"/>
      <c r="P148" s="117"/>
      <c r="Q148" s="117">
        <v>-13270.88</v>
      </c>
      <c r="R148" s="117"/>
      <c r="S148" s="117">
        <v>13270.88</v>
      </c>
      <c r="T148" s="108"/>
      <c r="U148" s="108"/>
      <c r="V148" s="108"/>
    </row>
    <row r="149" spans="1:22" ht="47.25" x14ac:dyDescent="0.25">
      <c r="A149" s="115"/>
      <c r="B149" s="274"/>
      <c r="C149" s="116" t="s">
        <v>338</v>
      </c>
      <c r="D149" s="116"/>
      <c r="E149" s="116"/>
      <c r="F149" s="116"/>
      <c r="G149" s="132">
        <v>880</v>
      </c>
      <c r="H149" s="116"/>
      <c r="I149" s="117"/>
      <c r="J149" s="117"/>
      <c r="K149" s="199"/>
      <c r="L149" s="195"/>
      <c r="M149" s="128" t="s">
        <v>337</v>
      </c>
      <c r="N149" s="117">
        <v>880</v>
      </c>
      <c r="O149" s="117"/>
      <c r="P149" s="117"/>
      <c r="Q149" s="117">
        <v>-880</v>
      </c>
      <c r="R149" s="117"/>
      <c r="S149" s="117">
        <v>880</v>
      </c>
      <c r="T149" s="108"/>
      <c r="U149" s="108"/>
      <c r="V149" s="108"/>
    </row>
    <row r="150" spans="1:22" x14ac:dyDescent="0.25">
      <c r="A150" s="115"/>
      <c r="B150" s="274"/>
      <c r="C150" s="116" t="s">
        <v>339</v>
      </c>
      <c r="D150" s="116"/>
      <c r="E150" s="116"/>
      <c r="F150" s="116"/>
      <c r="G150" s="132">
        <v>3560</v>
      </c>
      <c r="H150" s="116"/>
      <c r="I150" s="117"/>
      <c r="J150" s="117"/>
      <c r="K150" s="199"/>
      <c r="L150" s="195"/>
      <c r="M150" s="128" t="s">
        <v>340</v>
      </c>
      <c r="N150" s="117">
        <v>3560</v>
      </c>
      <c r="O150" s="117"/>
      <c r="P150" s="117"/>
      <c r="Q150" s="117">
        <v>-3560</v>
      </c>
      <c r="R150" s="117"/>
      <c r="S150" s="117">
        <v>3560</v>
      </c>
      <c r="T150" s="108"/>
      <c r="U150" s="108"/>
      <c r="V150" s="108"/>
    </row>
    <row r="151" spans="1:22" ht="31.5" x14ac:dyDescent="0.25">
      <c r="A151" s="115"/>
      <c r="B151" s="274"/>
      <c r="C151" s="116" t="s">
        <v>349</v>
      </c>
      <c r="D151" s="116"/>
      <c r="E151" s="116"/>
      <c r="F151" s="116"/>
      <c r="G151" s="132">
        <v>2500</v>
      </c>
      <c r="H151" s="116"/>
      <c r="I151" s="117"/>
      <c r="J151" s="117"/>
      <c r="K151" s="199"/>
      <c r="L151" s="195"/>
      <c r="M151" s="128" t="s">
        <v>363</v>
      </c>
      <c r="N151" s="117">
        <v>2500</v>
      </c>
      <c r="O151" s="117"/>
      <c r="P151" s="117">
        <v>2500</v>
      </c>
      <c r="Q151" s="117"/>
      <c r="R151" s="117"/>
      <c r="S151" s="117">
        <v>2500</v>
      </c>
      <c r="T151" s="108"/>
      <c r="U151" s="108"/>
      <c r="V151" s="108"/>
    </row>
    <row r="152" spans="1:22" ht="31.5" x14ac:dyDescent="0.25">
      <c r="A152" s="115"/>
      <c r="B152" s="274"/>
      <c r="C152" s="116" t="s">
        <v>350</v>
      </c>
      <c r="D152" s="116"/>
      <c r="E152" s="116"/>
      <c r="F152" s="116"/>
      <c r="G152" s="132">
        <v>3154.13</v>
      </c>
      <c r="H152" s="116"/>
      <c r="I152" s="117"/>
      <c r="J152" s="117"/>
      <c r="K152" s="199"/>
      <c r="L152" s="195"/>
      <c r="M152" s="128" t="s">
        <v>114</v>
      </c>
      <c r="N152" s="117">
        <v>3154.1300000000047</v>
      </c>
      <c r="O152" s="117"/>
      <c r="P152" s="117"/>
      <c r="Q152" s="117">
        <v>-3154.1300000000047</v>
      </c>
      <c r="R152" s="117"/>
      <c r="S152" s="117">
        <v>3154.13</v>
      </c>
      <c r="T152" s="108"/>
      <c r="U152" s="108"/>
      <c r="V152" s="108"/>
    </row>
    <row r="153" spans="1:22" ht="31.5" x14ac:dyDescent="0.25">
      <c r="A153" s="115"/>
      <c r="B153" s="274"/>
      <c r="C153" s="116" t="s">
        <v>351</v>
      </c>
      <c r="D153" s="116"/>
      <c r="E153" s="116"/>
      <c r="F153" s="116"/>
      <c r="G153" s="132">
        <v>306631.12</v>
      </c>
      <c r="H153" s="116"/>
      <c r="I153" s="117"/>
      <c r="J153" s="117"/>
      <c r="K153" s="199"/>
      <c r="L153" s="195"/>
      <c r="M153" s="128" t="s">
        <v>114</v>
      </c>
      <c r="N153" s="117">
        <v>306631.12</v>
      </c>
      <c r="O153" s="117"/>
      <c r="P153" s="117"/>
      <c r="Q153" s="117">
        <v>-306631.12</v>
      </c>
      <c r="R153" s="117"/>
      <c r="S153" s="117">
        <v>306631.12</v>
      </c>
      <c r="T153" s="108">
        <f>S153*2</f>
        <v>613262.24</v>
      </c>
      <c r="U153" s="108"/>
      <c r="V153" s="108"/>
    </row>
    <row r="154" spans="1:22" ht="31.5" x14ac:dyDescent="0.25">
      <c r="A154" s="115"/>
      <c r="B154" s="274"/>
      <c r="C154" s="116" t="s">
        <v>352</v>
      </c>
      <c r="D154" s="116"/>
      <c r="E154" s="116"/>
      <c r="F154" s="116"/>
      <c r="G154" s="132">
        <v>-26114126.309999999</v>
      </c>
      <c r="H154" s="116"/>
      <c r="I154" s="117"/>
      <c r="J154" s="117"/>
      <c r="K154" s="199"/>
      <c r="L154" s="195"/>
      <c r="M154" s="128" t="s">
        <v>364</v>
      </c>
      <c r="N154" s="117"/>
      <c r="O154" s="117">
        <v>26114126.309999999</v>
      </c>
      <c r="P154" s="117">
        <v>-26114126.309999999</v>
      </c>
      <c r="Q154" s="117"/>
      <c r="R154" s="117"/>
      <c r="S154" s="117"/>
      <c r="T154" s="108"/>
      <c r="U154" s="108"/>
      <c r="V154" s="108"/>
    </row>
    <row r="155" spans="1:22" ht="31.5" x14ac:dyDescent="0.25">
      <c r="A155" s="115"/>
      <c r="B155" s="274"/>
      <c r="C155" s="116" t="s">
        <v>353</v>
      </c>
      <c r="D155" s="116"/>
      <c r="E155" s="116"/>
      <c r="F155" s="116"/>
      <c r="G155" s="132">
        <v>-27735</v>
      </c>
      <c r="H155" s="116"/>
      <c r="I155" s="117"/>
      <c r="J155" s="117"/>
      <c r="K155" s="199"/>
      <c r="L155" s="195"/>
      <c r="M155" s="128" t="s">
        <v>346</v>
      </c>
      <c r="N155" s="117"/>
      <c r="O155" s="117">
        <v>27735</v>
      </c>
      <c r="P155" s="117">
        <v>-27735</v>
      </c>
      <c r="Q155" s="117"/>
      <c r="R155" s="117"/>
      <c r="S155" s="117"/>
      <c r="T155" s="108"/>
      <c r="U155" s="108"/>
      <c r="V155" s="108"/>
    </row>
    <row r="156" spans="1:22" ht="31.5" x14ac:dyDescent="0.25">
      <c r="A156" s="115"/>
      <c r="B156" s="274"/>
      <c r="C156" s="116" t="s">
        <v>354</v>
      </c>
      <c r="D156" s="116"/>
      <c r="E156" s="116"/>
      <c r="F156" s="116"/>
      <c r="G156" s="132">
        <v>-34598.18</v>
      </c>
      <c r="H156" s="116"/>
      <c r="I156" s="117"/>
      <c r="J156" s="117"/>
      <c r="K156" s="199"/>
      <c r="L156" s="195"/>
      <c r="M156" s="128" t="s">
        <v>333</v>
      </c>
      <c r="N156" s="117"/>
      <c r="O156" s="117">
        <v>34598.18</v>
      </c>
      <c r="P156" s="117">
        <f>G156</f>
        <v>-34598.18</v>
      </c>
      <c r="Q156" s="117"/>
      <c r="R156" s="117"/>
      <c r="S156" s="117"/>
      <c r="T156" s="108"/>
      <c r="U156" s="108"/>
      <c r="V156" s="108"/>
    </row>
    <row r="157" spans="1:22" ht="31.5" x14ac:dyDescent="0.25">
      <c r="A157" s="115"/>
      <c r="B157" s="274"/>
      <c r="C157" s="116" t="s">
        <v>355</v>
      </c>
      <c r="D157" s="116"/>
      <c r="E157" s="116"/>
      <c r="F157" s="116"/>
      <c r="G157" s="132">
        <v>-5438.57</v>
      </c>
      <c r="H157" s="116"/>
      <c r="I157" s="117"/>
      <c r="J157" s="117"/>
      <c r="K157" s="199"/>
      <c r="L157" s="195"/>
      <c r="M157" s="128" t="s">
        <v>323</v>
      </c>
      <c r="N157" s="117"/>
      <c r="O157" s="117">
        <v>5438.57</v>
      </c>
      <c r="P157" s="117">
        <v>-5438.57</v>
      </c>
      <c r="Q157" s="117"/>
      <c r="R157" s="117"/>
      <c r="S157" s="117"/>
      <c r="T157" s="108"/>
      <c r="U157" s="108"/>
      <c r="V157" s="108"/>
    </row>
    <row r="158" spans="1:22" ht="31.5" x14ac:dyDescent="0.25">
      <c r="A158" s="115"/>
      <c r="B158" s="274"/>
      <c r="C158" s="116" t="s">
        <v>356</v>
      </c>
      <c r="D158" s="116"/>
      <c r="E158" s="116"/>
      <c r="F158" s="116"/>
      <c r="G158" s="132">
        <v>214160.63</v>
      </c>
      <c r="H158" s="116"/>
      <c r="I158" s="117"/>
      <c r="J158" s="117"/>
      <c r="K158" s="199"/>
      <c r="L158" s="195"/>
      <c r="M158" s="128" t="s">
        <v>364</v>
      </c>
      <c r="N158" s="117">
        <v>214160.63</v>
      </c>
      <c r="O158" s="117"/>
      <c r="P158" s="117">
        <v>214160.63</v>
      </c>
      <c r="Q158" s="117"/>
      <c r="R158" s="117"/>
      <c r="S158" s="117">
        <v>214160.63</v>
      </c>
      <c r="T158" s="108"/>
      <c r="U158" s="108"/>
      <c r="V158" s="108"/>
    </row>
    <row r="159" spans="1:22" ht="31.5" x14ac:dyDescent="0.25">
      <c r="A159" s="115"/>
      <c r="B159" s="274"/>
      <c r="C159" s="116" t="s">
        <v>357</v>
      </c>
      <c r="D159" s="116"/>
      <c r="E159" s="116"/>
      <c r="F159" s="116"/>
      <c r="G159" s="132">
        <v>-414.7</v>
      </c>
      <c r="H159" s="116"/>
      <c r="I159" s="117"/>
      <c r="J159" s="117"/>
      <c r="K159" s="199"/>
      <c r="L159" s="195"/>
      <c r="M159" s="128" t="s">
        <v>364</v>
      </c>
      <c r="N159" s="117"/>
      <c r="O159" s="117">
        <v>414.7</v>
      </c>
      <c r="P159" s="117">
        <v>-414.7</v>
      </c>
      <c r="Q159" s="117"/>
      <c r="R159" s="117"/>
      <c r="S159" s="117">
        <v>-414.7</v>
      </c>
      <c r="T159" s="108"/>
      <c r="U159" s="108"/>
      <c r="V159" s="108"/>
    </row>
    <row r="160" spans="1:22" ht="31.5" x14ac:dyDescent="0.25">
      <c r="A160" s="115"/>
      <c r="B160" s="274"/>
      <c r="C160" s="116" t="s">
        <v>358</v>
      </c>
      <c r="D160" s="116"/>
      <c r="E160" s="116"/>
      <c r="F160" s="116"/>
      <c r="G160" s="132">
        <v>26140.59</v>
      </c>
      <c r="H160" s="116"/>
      <c r="I160" s="117"/>
      <c r="J160" s="117"/>
      <c r="K160" s="199"/>
      <c r="L160" s="195"/>
      <c r="M160" s="128" t="s">
        <v>365</v>
      </c>
      <c r="N160" s="117">
        <v>26140.59</v>
      </c>
      <c r="O160" s="117"/>
      <c r="P160" s="117"/>
      <c r="Q160" s="117">
        <v>-26140.59</v>
      </c>
      <c r="R160" s="117"/>
      <c r="S160" s="117">
        <v>26140.59</v>
      </c>
      <c r="T160" s="108"/>
      <c r="U160" s="108"/>
      <c r="V160" s="108"/>
    </row>
    <row r="161" spans="1:24" ht="31.5" x14ac:dyDescent="0.25">
      <c r="A161" s="115"/>
      <c r="B161" s="274"/>
      <c r="C161" s="116" t="s">
        <v>359</v>
      </c>
      <c r="D161" s="116"/>
      <c r="E161" s="116"/>
      <c r="F161" s="116"/>
      <c r="G161" s="132">
        <v>10500</v>
      </c>
      <c r="H161" s="116"/>
      <c r="I161" s="117"/>
      <c r="J161" s="117"/>
      <c r="K161" s="199"/>
      <c r="L161" s="195"/>
      <c r="M161" s="128" t="s">
        <v>148</v>
      </c>
      <c r="N161" s="117">
        <v>10500</v>
      </c>
      <c r="O161" s="117"/>
      <c r="P161" s="117"/>
      <c r="Q161" s="117">
        <v>-10500</v>
      </c>
      <c r="R161" s="117"/>
      <c r="S161" s="117">
        <v>10500</v>
      </c>
      <c r="T161" s="108"/>
      <c r="U161" s="108"/>
      <c r="V161" s="108"/>
    </row>
    <row r="162" spans="1:24" ht="31.5" x14ac:dyDescent="0.25">
      <c r="A162" s="115"/>
      <c r="B162" s="274"/>
      <c r="C162" s="116" t="s">
        <v>360</v>
      </c>
      <c r="D162" s="116"/>
      <c r="E162" s="116"/>
      <c r="F162" s="116"/>
      <c r="G162" s="132">
        <v>106654.89</v>
      </c>
      <c r="H162" s="116"/>
      <c r="I162" s="117"/>
      <c r="J162" s="117"/>
      <c r="K162" s="199"/>
      <c r="L162" s="195"/>
      <c r="M162" s="128" t="s">
        <v>366</v>
      </c>
      <c r="N162" s="117">
        <v>106654.89</v>
      </c>
      <c r="O162" s="117"/>
      <c r="P162" s="117"/>
      <c r="Q162" s="117">
        <v>-106654.89</v>
      </c>
      <c r="R162" s="117"/>
      <c r="S162" s="117">
        <v>106654.89</v>
      </c>
      <c r="T162" s="108"/>
      <c r="U162" s="108"/>
      <c r="V162" s="108"/>
    </row>
    <row r="163" spans="1:24" ht="31.5" x14ac:dyDescent="0.25">
      <c r="A163" s="115"/>
      <c r="B163" s="274"/>
      <c r="C163" s="116" t="s">
        <v>361</v>
      </c>
      <c r="D163" s="116"/>
      <c r="E163" s="116"/>
      <c r="F163" s="116"/>
      <c r="G163" s="132">
        <v>3179.25</v>
      </c>
      <c r="H163" s="116"/>
      <c r="I163" s="117"/>
      <c r="J163" s="117"/>
      <c r="K163" s="199"/>
      <c r="L163" s="195"/>
      <c r="M163" s="128" t="s">
        <v>149</v>
      </c>
      <c r="N163" s="117">
        <v>3179.25</v>
      </c>
      <c r="O163" s="117"/>
      <c r="P163" s="117"/>
      <c r="Q163" s="117">
        <v>-3179.25</v>
      </c>
      <c r="R163" s="117"/>
      <c r="S163" s="117">
        <v>3179.25</v>
      </c>
      <c r="T163" s="108"/>
      <c r="U163" s="108"/>
      <c r="V163" s="108"/>
    </row>
    <row r="164" spans="1:24" ht="31.5" x14ac:dyDescent="0.25">
      <c r="A164" s="115"/>
      <c r="B164" s="274"/>
      <c r="C164" s="116" t="s">
        <v>138</v>
      </c>
      <c r="D164" s="116"/>
      <c r="E164" s="116"/>
      <c r="F164" s="116"/>
      <c r="G164" s="132">
        <v>564118.04</v>
      </c>
      <c r="H164" s="116"/>
      <c r="I164" s="117"/>
      <c r="J164" s="117"/>
      <c r="K164" s="199"/>
      <c r="L164" s="195"/>
      <c r="M164" s="128" t="s">
        <v>174</v>
      </c>
      <c r="N164" s="117">
        <v>564118.04</v>
      </c>
      <c r="O164" s="117"/>
      <c r="P164" s="117"/>
      <c r="Q164" s="117">
        <v>-564118.04</v>
      </c>
      <c r="R164" s="117"/>
      <c r="S164" s="117">
        <v>564118.04</v>
      </c>
      <c r="T164" s="108"/>
      <c r="U164" s="108"/>
      <c r="V164" s="108"/>
    </row>
    <row r="165" spans="1:24" ht="31.5" x14ac:dyDescent="0.25">
      <c r="A165" s="115"/>
      <c r="B165" s="274"/>
      <c r="C165" s="116" t="s">
        <v>362</v>
      </c>
      <c r="D165" s="116"/>
      <c r="E165" s="116"/>
      <c r="F165" s="116"/>
      <c r="G165" s="132">
        <v>-9056741.3500000015</v>
      </c>
      <c r="H165" s="116"/>
      <c r="I165" s="117"/>
      <c r="J165" s="117"/>
      <c r="K165" s="199"/>
      <c r="L165" s="195"/>
      <c r="M165" s="128" t="s">
        <v>364</v>
      </c>
      <c r="N165" s="117"/>
      <c r="O165" s="117">
        <v>9056741.3500000015</v>
      </c>
      <c r="P165" s="117">
        <v>-9056741.3500000015</v>
      </c>
      <c r="Q165" s="117"/>
      <c r="R165" s="117">
        <v>9056741.3500000015</v>
      </c>
      <c r="S165" s="117">
        <v>-9056741.3499999996</v>
      </c>
      <c r="T165" s="108"/>
      <c r="U165" s="108"/>
      <c r="V165" s="108"/>
    </row>
    <row r="166" spans="1:24" s="104" customFormat="1" x14ac:dyDescent="0.25">
      <c r="A166" s="129" t="s">
        <v>319</v>
      </c>
      <c r="B166" s="275"/>
      <c r="C166" s="130"/>
      <c r="D166" s="130"/>
      <c r="E166" s="130"/>
      <c r="F166" s="130"/>
      <c r="G166" s="112">
        <f>G15+G11+G9</f>
        <v>816841800.81101346</v>
      </c>
      <c r="H166" s="120"/>
      <c r="I166" s="112"/>
      <c r="J166" s="112"/>
      <c r="K166" s="200">
        <f>K15+K11</f>
        <v>-1148550442.4089868</v>
      </c>
      <c r="L166" s="226"/>
      <c r="M166" s="112"/>
      <c r="N166" s="112"/>
      <c r="O166" s="112"/>
      <c r="P166" s="112">
        <f>P15+P11</f>
        <v>-1120119246.8189867</v>
      </c>
      <c r="Q166" s="112">
        <f>Q15+Q11</f>
        <v>26092372.710000005</v>
      </c>
      <c r="R166" s="112"/>
      <c r="S166" s="112">
        <f>SUBTOTAL(9,S11:S165)</f>
        <v>-14901802.079999996</v>
      </c>
      <c r="T166" s="102"/>
      <c r="U166" s="102"/>
      <c r="V166" s="102"/>
    </row>
    <row r="167" spans="1:24" x14ac:dyDescent="0.25">
      <c r="A167" s="133"/>
      <c r="C167" s="271"/>
      <c r="D167" s="134"/>
      <c r="E167" s="134"/>
      <c r="F167" s="134"/>
      <c r="G167" s="102">
        <f>G166-[21]FC1SGE!$J$17</f>
        <v>513776125.11000103</v>
      </c>
      <c r="H167" s="135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4" ht="31.5" x14ac:dyDescent="0.25">
      <c r="A168" s="133"/>
      <c r="C168" s="103" t="s">
        <v>116</v>
      </c>
      <c r="D168" s="103"/>
      <c r="E168" s="103"/>
      <c r="F168" s="103"/>
      <c r="H168" s="103" t="s">
        <v>117</v>
      </c>
      <c r="I168" s="137"/>
      <c r="J168" s="137"/>
      <c r="M168" s="104" t="s">
        <v>118</v>
      </c>
      <c r="N168" s="108"/>
      <c r="O168" s="108"/>
      <c r="P168" s="108"/>
      <c r="Q168" s="107"/>
      <c r="R168" s="104" t="s">
        <v>119</v>
      </c>
      <c r="S168" s="108"/>
      <c r="T168" s="108"/>
      <c r="U168" s="108"/>
      <c r="V168" s="108"/>
    </row>
    <row r="169" spans="1:24" x14ac:dyDescent="0.25">
      <c r="C169" s="138" t="s">
        <v>120</v>
      </c>
      <c r="D169" s="138"/>
      <c r="E169" s="138"/>
      <c r="F169" s="138"/>
      <c r="G169" s="108">
        <f>G166</f>
        <v>816841800.81101346</v>
      </c>
      <c r="H169" s="135"/>
      <c r="J169" s="137"/>
      <c r="M169" s="108"/>
      <c r="N169" s="139" t="s">
        <v>121</v>
      </c>
      <c r="O169" s="140"/>
      <c r="P169" s="108">
        <f>P166</f>
        <v>-1120119246.8189867</v>
      </c>
      <c r="Q169" s="108"/>
      <c r="R169" s="108"/>
      <c r="S169" s="108"/>
      <c r="T169" s="108"/>
      <c r="U169" s="108"/>
      <c r="V169" s="108"/>
    </row>
    <row r="170" spans="1:24" x14ac:dyDescent="0.25">
      <c r="C170" s="138" t="s">
        <v>122</v>
      </c>
      <c r="D170" s="138"/>
      <c r="E170" s="138"/>
      <c r="F170" s="138"/>
      <c r="G170" s="108">
        <f>G9</f>
        <v>1963112594.0999999</v>
      </c>
      <c r="M170" s="108"/>
      <c r="N170" s="139" t="s">
        <v>123</v>
      </c>
      <c r="O170" s="140"/>
      <c r="P170" s="108">
        <f>Q166</f>
        <v>26092372.710000005</v>
      </c>
      <c r="Q170" s="108"/>
      <c r="R170" s="108"/>
      <c r="S170" s="108"/>
      <c r="T170" s="108"/>
      <c r="U170" s="108"/>
      <c r="V170" s="108"/>
    </row>
    <row r="171" spans="1:24" x14ac:dyDescent="0.25">
      <c r="C171" s="141" t="s">
        <v>124</v>
      </c>
      <c r="D171" s="141"/>
      <c r="E171" s="141"/>
      <c r="F171" s="141"/>
      <c r="G171" s="102">
        <f>G169-G170</f>
        <v>-1146270793.2889864</v>
      </c>
      <c r="H171" s="141" t="s">
        <v>125</v>
      </c>
      <c r="K171" s="196"/>
      <c r="L171" s="219"/>
      <c r="M171" s="108"/>
      <c r="N171" s="139" t="s">
        <v>126</v>
      </c>
      <c r="O171" s="142"/>
      <c r="P171" s="108"/>
      <c r="Q171" s="108"/>
      <c r="R171" s="102" t="s">
        <v>126</v>
      </c>
      <c r="S171" s="102">
        <f>S166</f>
        <v>-14901802.079999996</v>
      </c>
      <c r="T171" s="108"/>
      <c r="U171" s="108"/>
      <c r="V171" s="108"/>
    </row>
    <row r="172" spans="1:24" x14ac:dyDescent="0.25">
      <c r="H172" s="143"/>
      <c r="M172" s="108"/>
      <c r="N172" s="144" t="s">
        <v>127</v>
      </c>
      <c r="O172" s="102"/>
      <c r="P172" s="102"/>
      <c r="Q172" s="102">
        <f>P169-P170+P171</f>
        <v>-1146211619.5289867</v>
      </c>
      <c r="R172" s="108"/>
      <c r="S172" s="108"/>
      <c r="T172" s="108"/>
      <c r="U172" s="337"/>
      <c r="V172" s="337"/>
      <c r="W172" s="145"/>
    </row>
    <row r="173" spans="1:24" s="104" customFormat="1" ht="16.5" x14ac:dyDescent="0.3">
      <c r="B173" s="273"/>
      <c r="C173" s="103"/>
      <c r="D173" s="103"/>
      <c r="E173" s="103"/>
      <c r="F173" s="103"/>
      <c r="G173" s="102"/>
      <c r="H173" s="268"/>
      <c r="I173" s="258"/>
      <c r="J173" s="258"/>
      <c r="K173" s="196"/>
      <c r="L173" s="219"/>
      <c r="M173" s="102"/>
      <c r="N173" s="102"/>
      <c r="O173" s="102"/>
      <c r="P173" s="102"/>
      <c r="Q173" s="160">
        <f>Q172-G171</f>
        <v>59173.759999752045</v>
      </c>
      <c r="R173" s="102"/>
      <c r="S173" s="102">
        <f>S171-[21]FC1SGE!$N$14</f>
        <v>-14901802.079999996</v>
      </c>
      <c r="T173" s="102"/>
      <c r="U173" s="146"/>
      <c r="V173" s="146"/>
      <c r="W173" s="147"/>
    </row>
    <row r="174" spans="1:24" ht="16.5" x14ac:dyDescent="0.3">
      <c r="H174" s="268"/>
      <c r="I174" s="258"/>
      <c r="J174" s="258"/>
      <c r="M174" s="108"/>
      <c r="N174" s="108"/>
      <c r="O174" s="108"/>
      <c r="P174" s="108"/>
      <c r="Q174" s="108"/>
      <c r="R174" s="148"/>
      <c r="S174" s="108"/>
      <c r="T174" s="102"/>
      <c r="U174" s="108"/>
      <c r="V174" s="108"/>
      <c r="W174" s="136"/>
      <c r="X174" s="136"/>
    </row>
    <row r="175" spans="1:24" ht="16.5" x14ac:dyDescent="0.3">
      <c r="C175" s="103" t="s">
        <v>130</v>
      </c>
      <c r="D175" s="103"/>
      <c r="E175" s="103"/>
      <c r="F175" s="103"/>
      <c r="H175" s="269"/>
      <c r="I175" s="259"/>
      <c r="J175" s="259"/>
      <c r="M175" s="108"/>
      <c r="N175" s="108" t="s">
        <v>131</v>
      </c>
      <c r="O175" s="108"/>
      <c r="P175" s="108"/>
      <c r="Q175" s="108"/>
      <c r="R175" s="102"/>
      <c r="S175" s="108"/>
      <c r="T175" s="108"/>
      <c r="U175" s="102"/>
      <c r="V175" s="102"/>
      <c r="W175" s="107"/>
    </row>
    <row r="176" spans="1:24" x14ac:dyDescent="0.25">
      <c r="H176" s="270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36"/>
    </row>
    <row r="177" spans="2:22" x14ac:dyDescent="0.25">
      <c r="H177" s="143"/>
      <c r="I177" s="104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2:22" x14ac:dyDescent="0.25">
      <c r="C178" s="149" t="s">
        <v>255</v>
      </c>
      <c r="D178" s="241"/>
      <c r="E178" s="241"/>
      <c r="F178" s="241"/>
      <c r="H178" s="135"/>
      <c r="M178" s="148"/>
      <c r="N178" s="422" t="s">
        <v>132</v>
      </c>
      <c r="O178" s="422"/>
      <c r="P178" s="422"/>
      <c r="Q178" s="148"/>
      <c r="R178" s="148"/>
      <c r="S178" s="148"/>
      <c r="T178" s="108"/>
      <c r="U178" s="108"/>
      <c r="V178" s="108"/>
    </row>
    <row r="179" spans="2:22" x14ac:dyDescent="0.25">
      <c r="C179" s="111" t="s">
        <v>133</v>
      </c>
      <c r="D179" s="111"/>
      <c r="E179" s="111"/>
      <c r="F179" s="111"/>
      <c r="H179" s="106"/>
      <c r="I179" s="104"/>
      <c r="M179" s="150"/>
      <c r="N179" s="407" t="s">
        <v>134</v>
      </c>
      <c r="O179" s="407"/>
      <c r="P179" s="407"/>
      <c r="Q179" s="150"/>
      <c r="R179" s="150"/>
      <c r="S179" s="150"/>
      <c r="T179" s="108"/>
      <c r="U179" s="108"/>
      <c r="V179" s="108"/>
    </row>
    <row r="181" spans="2:22" x14ac:dyDescent="0.25">
      <c r="B181" s="273"/>
      <c r="C181" s="238"/>
      <c r="D181" s="238"/>
      <c r="E181" s="238"/>
      <c r="F181" s="238"/>
    </row>
    <row r="182" spans="2:22" x14ac:dyDescent="0.25">
      <c r="B182" s="273"/>
      <c r="C182" s="238"/>
      <c r="D182" s="238"/>
      <c r="E182" s="238"/>
      <c r="F182" s="238"/>
      <c r="N182" s="237"/>
      <c r="O182" s="233"/>
      <c r="P182" s="147"/>
      <c r="Q182" s="233"/>
    </row>
    <row r="183" spans="2:22" x14ac:dyDescent="0.25">
      <c r="B183" s="273"/>
      <c r="C183" s="238"/>
      <c r="D183" s="238"/>
      <c r="E183" s="238"/>
      <c r="F183" s="238"/>
      <c r="N183" s="237"/>
      <c r="O183" s="233"/>
      <c r="P183" s="147"/>
      <c r="Q183" s="233"/>
    </row>
    <row r="184" spans="2:22" x14ac:dyDescent="0.25">
      <c r="B184" s="273"/>
      <c r="C184" s="238"/>
      <c r="D184" s="238"/>
      <c r="E184" s="238"/>
      <c r="F184" s="238"/>
      <c r="N184" s="237"/>
      <c r="O184" s="233"/>
      <c r="P184" s="147"/>
      <c r="Q184" s="233"/>
    </row>
    <row r="185" spans="2:22" x14ac:dyDescent="0.25">
      <c r="B185" s="273"/>
      <c r="C185" s="238"/>
      <c r="D185" s="238"/>
      <c r="E185" s="238"/>
      <c r="F185" s="238"/>
      <c r="N185" s="237"/>
      <c r="O185" s="233"/>
      <c r="P185" s="147"/>
      <c r="Q185" s="233"/>
    </row>
    <row r="186" spans="2:22" x14ac:dyDescent="0.25">
      <c r="B186" s="273"/>
      <c r="C186" s="238"/>
      <c r="D186" s="238"/>
      <c r="E186" s="238"/>
      <c r="F186" s="238"/>
      <c r="G186" s="110"/>
      <c r="M186" s="108"/>
      <c r="N186" s="237"/>
      <c r="O186" s="233"/>
      <c r="P186" s="147"/>
      <c r="Q186" s="233"/>
    </row>
    <row r="187" spans="2:22" x14ac:dyDescent="0.25">
      <c r="B187" s="273"/>
      <c r="C187" s="238"/>
      <c r="D187" s="238"/>
      <c r="E187" s="238"/>
      <c r="F187" s="238"/>
      <c r="G187" s="110"/>
      <c r="M187" s="108"/>
      <c r="N187" s="237"/>
      <c r="O187" s="233"/>
      <c r="P187" s="147"/>
      <c r="Q187" s="233"/>
    </row>
    <row r="188" spans="2:22" x14ac:dyDescent="0.25">
      <c r="B188" s="273"/>
      <c r="C188" s="238"/>
      <c r="D188" s="238"/>
      <c r="E188" s="238"/>
      <c r="F188" s="238"/>
      <c r="G188" s="110"/>
      <c r="M188" s="108"/>
      <c r="N188" s="237"/>
      <c r="O188" s="233"/>
      <c r="P188" s="147"/>
      <c r="Q188" s="233"/>
    </row>
    <row r="189" spans="2:22" x14ac:dyDescent="0.25">
      <c r="B189" s="273"/>
      <c r="C189" s="238"/>
      <c r="D189" s="238"/>
      <c r="E189" s="238"/>
      <c r="F189" s="238"/>
      <c r="G189" s="110"/>
      <c r="K189" s="196"/>
      <c r="M189" s="108"/>
      <c r="N189" s="237"/>
      <c r="O189" s="233"/>
      <c r="P189" s="147"/>
      <c r="Q189" s="233"/>
    </row>
    <row r="190" spans="2:22" x14ac:dyDescent="0.25">
      <c r="B190" s="273"/>
      <c r="C190" s="238"/>
      <c r="D190" s="238"/>
      <c r="E190" s="238"/>
      <c r="F190" s="238"/>
      <c r="N190" s="237"/>
      <c r="O190" s="233"/>
      <c r="P190" s="147"/>
      <c r="Q190" s="233"/>
    </row>
    <row r="191" spans="2:22" x14ac:dyDescent="0.25">
      <c r="B191" s="273"/>
      <c r="C191" s="238"/>
      <c r="D191" s="238"/>
      <c r="E191" s="238"/>
      <c r="F191" s="238"/>
      <c r="N191" s="237"/>
      <c r="O191" s="233"/>
      <c r="P191" s="147"/>
      <c r="Q191" s="233"/>
    </row>
    <row r="192" spans="2:22" x14ac:dyDescent="0.25">
      <c r="B192" s="273"/>
      <c r="C192" s="238"/>
      <c r="D192" s="238"/>
      <c r="E192" s="238"/>
      <c r="F192" s="238"/>
      <c r="N192" s="237"/>
      <c r="O192" s="233"/>
      <c r="P192" s="147"/>
      <c r="Q192" s="233"/>
    </row>
    <row r="193" spans="2:17" x14ac:dyDescent="0.25">
      <c r="B193" s="273"/>
      <c r="C193" s="238"/>
      <c r="D193" s="238"/>
      <c r="E193" s="238"/>
      <c r="F193" s="238"/>
      <c r="N193" s="237"/>
      <c r="O193" s="233"/>
      <c r="P193" s="147"/>
      <c r="Q193" s="233"/>
    </row>
    <row r="194" spans="2:17" x14ac:dyDescent="0.25">
      <c r="B194" s="273"/>
      <c r="C194" s="238"/>
      <c r="D194" s="238"/>
      <c r="E194" s="238"/>
      <c r="F194" s="238"/>
      <c r="N194" s="237"/>
      <c r="O194" s="233"/>
      <c r="P194" s="147"/>
      <c r="Q194" s="233"/>
    </row>
    <row r="195" spans="2:17" x14ac:dyDescent="0.25">
      <c r="B195" s="273"/>
      <c r="C195" s="238"/>
      <c r="D195" s="238"/>
      <c r="E195" s="238"/>
      <c r="F195" s="238"/>
      <c r="N195" s="237"/>
      <c r="O195" s="233"/>
      <c r="P195" s="147"/>
      <c r="Q195" s="233"/>
    </row>
    <row r="196" spans="2:17" x14ac:dyDescent="0.25">
      <c r="B196" s="278"/>
      <c r="C196" s="238"/>
      <c r="D196" s="238"/>
      <c r="E196" s="238"/>
      <c r="F196" s="238"/>
      <c r="N196" s="237"/>
      <c r="O196" s="233"/>
      <c r="P196" s="147"/>
      <c r="Q196" s="233"/>
    </row>
    <row r="197" spans="2:17" x14ac:dyDescent="0.25">
      <c r="B197" s="279"/>
      <c r="C197" s="238"/>
      <c r="D197" s="238"/>
      <c r="E197" s="238"/>
      <c r="F197" s="238"/>
      <c r="K197" s="196"/>
      <c r="N197" s="237"/>
      <c r="O197" s="233"/>
      <c r="P197" s="147"/>
      <c r="Q197" s="233"/>
    </row>
    <row r="198" spans="2:17" x14ac:dyDescent="0.25">
      <c r="B198" s="273"/>
      <c r="C198" s="238"/>
      <c r="D198" s="238"/>
      <c r="E198" s="238"/>
      <c r="F198" s="238"/>
      <c r="N198" s="237"/>
      <c r="O198" s="233"/>
      <c r="P198" s="147"/>
      <c r="Q198" s="233"/>
    </row>
    <row r="199" spans="2:17" x14ac:dyDescent="0.25">
      <c r="B199" s="273"/>
      <c r="C199" s="238"/>
      <c r="D199" s="238"/>
      <c r="E199" s="238"/>
      <c r="F199" s="238"/>
      <c r="K199" s="196"/>
      <c r="L199" s="232"/>
      <c r="M199" s="233"/>
      <c r="N199" s="237"/>
      <c r="O199" s="233"/>
      <c r="P199" s="147"/>
      <c r="Q199" s="233"/>
    </row>
    <row r="200" spans="2:17" x14ac:dyDescent="0.25">
      <c r="B200" s="273"/>
      <c r="C200" s="238"/>
      <c r="D200" s="238"/>
      <c r="E200" s="238"/>
      <c r="F200" s="238"/>
      <c r="J200" s="104"/>
      <c r="K200" s="196"/>
      <c r="L200" s="232"/>
      <c r="M200" s="233"/>
      <c r="N200" s="237"/>
      <c r="O200" s="233"/>
      <c r="P200" s="147"/>
      <c r="Q200" s="233"/>
    </row>
    <row r="201" spans="2:17" x14ac:dyDescent="0.25">
      <c r="B201" s="273"/>
      <c r="C201" s="238"/>
      <c r="D201" s="238"/>
      <c r="E201" s="238"/>
      <c r="F201" s="238"/>
      <c r="J201" s="104"/>
      <c r="K201" s="196"/>
      <c r="L201" s="232"/>
      <c r="M201" s="233"/>
      <c r="N201" s="237"/>
      <c r="O201" s="233"/>
      <c r="P201" s="147"/>
      <c r="Q201" s="233"/>
    </row>
    <row r="202" spans="2:17" x14ac:dyDescent="0.25">
      <c r="B202" s="273"/>
      <c r="C202" s="238"/>
      <c r="D202" s="238"/>
      <c r="E202" s="238"/>
      <c r="F202" s="238"/>
      <c r="J202" s="104"/>
      <c r="K202" s="233"/>
      <c r="L202" s="232"/>
      <c r="M202" s="233"/>
      <c r="N202" s="237"/>
      <c r="O202" s="233"/>
      <c r="P202" s="147"/>
      <c r="Q202" s="233"/>
    </row>
    <row r="203" spans="2:17" x14ac:dyDescent="0.25">
      <c r="B203" s="273"/>
      <c r="C203" s="238"/>
      <c r="D203" s="238"/>
      <c r="E203" s="238"/>
      <c r="F203" s="238"/>
      <c r="J203" s="104"/>
      <c r="K203" s="233"/>
      <c r="L203" s="232"/>
      <c r="M203" s="233"/>
      <c r="N203" s="237"/>
      <c r="O203" s="233"/>
      <c r="P203" s="147"/>
      <c r="Q203" s="233"/>
    </row>
    <row r="204" spans="2:17" x14ac:dyDescent="0.25">
      <c r="B204" s="273"/>
      <c r="C204" s="238"/>
      <c r="D204" s="238"/>
      <c r="E204" s="238"/>
      <c r="F204" s="238"/>
      <c r="J204" s="104"/>
      <c r="K204" s="196"/>
      <c r="L204" s="232"/>
      <c r="M204" s="233"/>
      <c r="N204" s="237"/>
      <c r="O204" s="233"/>
      <c r="P204" s="147"/>
      <c r="Q204" s="233"/>
    </row>
    <row r="205" spans="2:17" x14ac:dyDescent="0.25">
      <c r="B205" s="273"/>
      <c r="C205" s="238"/>
      <c r="D205" s="238"/>
      <c r="E205" s="238"/>
      <c r="F205" s="238"/>
      <c r="J205" s="104"/>
      <c r="K205" s="196"/>
      <c r="L205" s="232"/>
      <c r="M205" s="233"/>
      <c r="N205" s="147"/>
      <c r="O205" s="235"/>
      <c r="P205" s="147"/>
      <c r="Q205" s="233"/>
    </row>
    <row r="206" spans="2:17" x14ac:dyDescent="0.25">
      <c r="B206" s="273"/>
      <c r="C206" s="238"/>
      <c r="D206" s="238"/>
      <c r="E206" s="238"/>
      <c r="F206" s="238"/>
      <c r="J206" s="104"/>
      <c r="K206" s="196"/>
      <c r="L206" s="232"/>
      <c r="M206" s="233"/>
      <c r="N206" s="147"/>
      <c r="O206" s="235"/>
      <c r="P206" s="147"/>
      <c r="Q206" s="233"/>
    </row>
    <row r="207" spans="2:17" x14ac:dyDescent="0.25">
      <c r="B207" s="273"/>
      <c r="C207" s="238"/>
      <c r="D207" s="238"/>
      <c r="E207" s="238"/>
      <c r="F207" s="238"/>
      <c r="K207" s="196"/>
      <c r="L207" s="232"/>
      <c r="M207" s="233"/>
      <c r="O207" s="137"/>
      <c r="P207" s="147"/>
      <c r="Q207" s="233"/>
    </row>
    <row r="208" spans="2:17" x14ac:dyDescent="0.25">
      <c r="B208" s="273"/>
      <c r="C208" s="238"/>
      <c r="D208" s="238"/>
      <c r="E208" s="238"/>
      <c r="F208" s="238"/>
      <c r="K208" s="196"/>
      <c r="L208" s="232"/>
      <c r="M208" s="233"/>
      <c r="P208" s="147"/>
      <c r="Q208" s="233"/>
    </row>
    <row r="209" spans="2:17" x14ac:dyDescent="0.25">
      <c r="B209" s="273"/>
      <c r="C209" s="238"/>
      <c r="D209" s="238"/>
      <c r="E209" s="238"/>
      <c r="F209" s="238"/>
      <c r="K209" s="196"/>
      <c r="L209" s="232"/>
      <c r="M209" s="233"/>
      <c r="P209" s="147"/>
      <c r="Q209" s="233"/>
    </row>
    <row r="210" spans="2:17" x14ac:dyDescent="0.25">
      <c r="B210" s="273"/>
      <c r="C210" s="238"/>
      <c r="D210" s="238"/>
      <c r="E210" s="238"/>
      <c r="F210" s="238"/>
      <c r="J210" s="104"/>
      <c r="K210" s="196"/>
      <c r="L210" s="232"/>
      <c r="M210" s="233"/>
      <c r="P210" s="147"/>
      <c r="Q210" s="233"/>
    </row>
    <row r="211" spans="2:17" x14ac:dyDescent="0.25">
      <c r="B211" s="273"/>
      <c r="C211" s="238"/>
      <c r="D211" s="238"/>
      <c r="E211" s="238"/>
      <c r="F211" s="238"/>
      <c r="K211" s="196"/>
      <c r="L211" s="232"/>
      <c r="M211" s="233"/>
      <c r="P211" s="147"/>
      <c r="Q211" s="233"/>
    </row>
    <row r="212" spans="2:17" x14ac:dyDescent="0.25">
      <c r="B212" s="273"/>
      <c r="C212" s="238"/>
      <c r="D212" s="238"/>
      <c r="E212" s="238"/>
      <c r="F212" s="238"/>
      <c r="J212" s="104"/>
      <c r="K212" s="196"/>
      <c r="L212" s="232"/>
      <c r="M212" s="233"/>
      <c r="P212" s="147"/>
      <c r="Q212" s="233"/>
    </row>
    <row r="213" spans="2:17" x14ac:dyDescent="0.25">
      <c r="B213" s="273"/>
      <c r="C213" s="238"/>
      <c r="D213" s="238"/>
      <c r="E213" s="238"/>
      <c r="F213" s="238"/>
      <c r="K213" s="196"/>
      <c r="L213" s="232"/>
      <c r="M213" s="233"/>
      <c r="P213" s="147"/>
      <c r="Q213" s="233"/>
    </row>
    <row r="214" spans="2:17" x14ac:dyDescent="0.25">
      <c r="B214" s="273"/>
      <c r="C214" s="238"/>
      <c r="D214" s="238"/>
      <c r="E214" s="238"/>
      <c r="F214" s="238"/>
      <c r="L214" s="232"/>
      <c r="M214" s="233"/>
      <c r="P214" s="147"/>
      <c r="Q214" s="233"/>
    </row>
    <row r="215" spans="2:17" x14ac:dyDescent="0.25">
      <c r="B215" s="273"/>
      <c r="C215" s="238"/>
      <c r="D215" s="238"/>
      <c r="E215" s="238"/>
      <c r="F215" s="238"/>
      <c r="L215" s="232"/>
      <c r="M215" s="233"/>
      <c r="P215" s="147"/>
      <c r="Q215" s="233"/>
    </row>
    <row r="216" spans="2:17" x14ac:dyDescent="0.25">
      <c r="B216" s="273"/>
      <c r="C216" s="238"/>
      <c r="D216" s="238"/>
      <c r="E216" s="238"/>
      <c r="F216" s="238"/>
      <c r="L216" s="232"/>
      <c r="M216" s="233"/>
      <c r="P216" s="147"/>
      <c r="Q216" s="233"/>
    </row>
    <row r="217" spans="2:17" x14ac:dyDescent="0.25">
      <c r="B217" s="273"/>
      <c r="C217" s="238"/>
      <c r="D217" s="238"/>
      <c r="E217" s="238"/>
      <c r="F217" s="238"/>
      <c r="L217" s="232"/>
      <c r="M217" s="233"/>
    </row>
    <row r="218" spans="2:17" x14ac:dyDescent="0.25">
      <c r="B218" s="273"/>
      <c r="C218" s="238"/>
      <c r="D218" s="238"/>
      <c r="E218" s="238"/>
      <c r="F218" s="238"/>
      <c r="L218" s="232"/>
      <c r="M218" s="233"/>
    </row>
    <row r="219" spans="2:17" x14ac:dyDescent="0.25">
      <c r="B219" s="273"/>
      <c r="C219" s="238"/>
      <c r="D219" s="238"/>
      <c r="E219" s="238"/>
      <c r="F219" s="238"/>
      <c r="L219" s="232"/>
      <c r="M219" s="233"/>
    </row>
    <row r="220" spans="2:17" x14ac:dyDescent="0.25">
      <c r="B220" s="273"/>
      <c r="C220" s="238"/>
      <c r="D220" s="238"/>
      <c r="E220" s="238"/>
      <c r="F220" s="238"/>
      <c r="L220" s="232"/>
      <c r="M220" s="233"/>
    </row>
    <row r="221" spans="2:17" x14ac:dyDescent="0.25">
      <c r="B221" s="273"/>
      <c r="C221" s="238"/>
      <c r="D221" s="238"/>
      <c r="E221" s="238"/>
      <c r="F221" s="238"/>
      <c r="L221" s="232"/>
      <c r="M221" s="233"/>
    </row>
    <row r="222" spans="2:17" x14ac:dyDescent="0.25">
      <c r="B222" s="273"/>
      <c r="C222" s="238"/>
      <c r="D222" s="238"/>
      <c r="E222" s="238"/>
      <c r="F222" s="238"/>
      <c r="L222" s="232"/>
      <c r="M222" s="233"/>
    </row>
    <row r="223" spans="2:17" x14ac:dyDescent="0.25">
      <c r="B223" s="273"/>
      <c r="C223" s="238"/>
      <c r="D223" s="238"/>
      <c r="E223" s="238"/>
      <c r="F223" s="238"/>
      <c r="L223" s="232"/>
      <c r="M223" s="233"/>
    </row>
    <row r="224" spans="2:17" x14ac:dyDescent="0.25">
      <c r="B224" s="273"/>
      <c r="C224" s="238"/>
      <c r="D224" s="238"/>
      <c r="E224" s="238"/>
      <c r="F224" s="238"/>
      <c r="L224" s="232"/>
      <c r="M224" s="233"/>
    </row>
    <row r="225" spans="11:13" x14ac:dyDescent="0.25">
      <c r="L225" s="232"/>
      <c r="M225" s="233"/>
    </row>
    <row r="226" spans="11:13" x14ac:dyDescent="0.25">
      <c r="L226" s="232"/>
      <c r="M226" s="233"/>
    </row>
    <row r="227" spans="11:13" x14ac:dyDescent="0.25">
      <c r="L227" s="232"/>
      <c r="M227" s="233"/>
    </row>
    <row r="228" spans="11:13" x14ac:dyDescent="0.25">
      <c r="L228" s="232"/>
      <c r="M228" s="233"/>
    </row>
    <row r="229" spans="11:13" x14ac:dyDescent="0.25">
      <c r="K229" s="196"/>
      <c r="L229" s="232"/>
      <c r="M229" s="233"/>
    </row>
    <row r="230" spans="11:13" x14ac:dyDescent="0.25">
      <c r="M230" s="105"/>
    </row>
  </sheetData>
  <autoFilter ref="A17:X175"/>
  <mergeCells count="9">
    <mergeCell ref="N179:P179"/>
    <mergeCell ref="A6:C8"/>
    <mergeCell ref="G6:G8"/>
    <mergeCell ref="H6:Q6"/>
    <mergeCell ref="R6:S8"/>
    <mergeCell ref="H7:K7"/>
    <mergeCell ref="M7:Q7"/>
    <mergeCell ref="A9:C9"/>
    <mergeCell ref="N178:P178"/>
  </mergeCells>
  <conditionalFormatting sqref="L199:L229">
    <cfRule type="containsText" dxfId="141" priority="1" operator="containsText" text="5020201002">
      <formula>NOT(ISERROR(SEARCH("5020201002",L199)))</formula>
    </cfRule>
    <cfRule type="containsText" dxfId="140" priority="2" operator="containsText" text="5020201010">
      <formula>NOT(ISERROR(SEARCH("5020201010",L199)))</formula>
    </cfRule>
    <cfRule type="containsText" dxfId="139" priority="3" operator="containsText" text="5020201000">
      <formula>NOT(ISERROR(SEARCH("5020201000",L199)))</formula>
    </cfRule>
    <cfRule type="containsText" dxfId="138" priority="4" operator="containsText" text="502020101000">
      <formula>NOT(ISERROR(SEARCH("502020101000",L199)))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81"/>
  <sheetViews>
    <sheetView tabSelected="1" topLeftCell="A7" zoomScaleNormal="100" workbookViewId="0">
      <pane xSplit="8" ySplit="13" topLeftCell="I83" activePane="bottomRight" state="frozen"/>
      <selection activeCell="D62" sqref="D62"/>
      <selection pane="topRight" activeCell="D62" sqref="D62"/>
      <selection pane="bottomLeft" activeCell="D62" sqref="D62"/>
      <selection pane="bottomRight" activeCell="I88" sqref="I88"/>
    </sheetView>
  </sheetViews>
  <sheetFormatPr defaultColWidth="9.140625" defaultRowHeight="15.75" x14ac:dyDescent="0.25"/>
  <cols>
    <col min="1" max="1" width="2.28515625" style="300" customWidth="1"/>
    <col min="2" max="2" width="18.140625" style="296" customWidth="1"/>
    <col min="3" max="3" width="41" style="310" customWidth="1"/>
    <col min="4" max="6" width="22.140625" style="310" hidden="1" customWidth="1"/>
    <col min="7" max="7" width="33.7109375" style="148" customWidth="1"/>
    <col min="8" max="8" width="28.5703125" style="310" customWidth="1"/>
    <col min="9" max="9" width="27.42578125" style="300" customWidth="1"/>
    <col min="10" max="10" width="18.85546875" style="300" customWidth="1"/>
    <col min="11" max="11" width="17.140625" style="301" customWidth="1"/>
    <col min="12" max="12" width="17.140625" style="302" customWidth="1"/>
    <col min="13" max="13" width="40.7109375" style="300" bestFit="1" customWidth="1"/>
    <col min="14" max="14" width="17.5703125" style="300" customWidth="1"/>
    <col min="15" max="15" width="19" style="300" customWidth="1"/>
    <col min="16" max="16" width="18.85546875" style="300" customWidth="1"/>
    <col min="17" max="17" width="22.7109375" style="300" bestFit="1" customWidth="1"/>
    <col min="18" max="18" width="15.85546875" style="300" customWidth="1"/>
    <col min="19" max="19" width="16.28515625" style="300" customWidth="1"/>
    <col min="20" max="20" width="9.140625" style="300"/>
    <col min="21" max="21" width="23.5703125" style="300" bestFit="1" customWidth="1"/>
    <col min="22" max="23" width="23.140625" style="300" bestFit="1" customWidth="1"/>
    <col min="24" max="24" width="17" style="300" bestFit="1" customWidth="1"/>
    <col min="25" max="16384" width="9.140625" style="300"/>
  </cols>
  <sheetData>
    <row r="1" spans="1:22" s="305" customFormat="1" ht="31.15" customHeight="1" x14ac:dyDescent="0.25">
      <c r="A1" s="286" t="s">
        <v>0</v>
      </c>
      <c r="B1" s="287"/>
      <c r="C1" s="288"/>
      <c r="D1" s="288"/>
      <c r="E1" s="288"/>
      <c r="F1" s="288"/>
      <c r="G1" s="112"/>
      <c r="H1" s="119"/>
      <c r="I1" s="289"/>
      <c r="J1" s="289"/>
      <c r="K1" s="200"/>
      <c r="L1" s="222"/>
      <c r="M1" s="289"/>
      <c r="N1" s="289"/>
      <c r="O1" s="289"/>
      <c r="P1" s="289"/>
      <c r="Q1" s="289"/>
      <c r="R1" s="289"/>
      <c r="S1" s="129"/>
    </row>
    <row r="2" spans="1:22" s="305" customFormat="1" ht="15.6" customHeight="1" x14ac:dyDescent="0.25">
      <c r="A2" s="286" t="s">
        <v>1</v>
      </c>
      <c r="B2" s="287"/>
      <c r="C2" s="288"/>
      <c r="D2" s="288"/>
      <c r="E2" s="288"/>
      <c r="F2" s="288"/>
      <c r="G2" s="112"/>
      <c r="H2" s="119"/>
      <c r="I2" s="289"/>
      <c r="J2" s="289"/>
      <c r="K2" s="200"/>
      <c r="L2" s="222"/>
      <c r="M2" s="289"/>
      <c r="N2" s="289"/>
      <c r="O2" s="289"/>
      <c r="P2" s="289"/>
      <c r="Q2" s="289"/>
      <c r="R2" s="289"/>
      <c r="S2" s="129"/>
    </row>
    <row r="3" spans="1:22" s="305" customFormat="1" x14ac:dyDescent="0.25">
      <c r="A3" s="286" t="s">
        <v>293</v>
      </c>
      <c r="B3" s="287"/>
      <c r="C3" s="288"/>
      <c r="D3" s="288"/>
      <c r="E3" s="288"/>
      <c r="F3" s="288"/>
      <c r="G3" s="112"/>
      <c r="H3" s="120"/>
      <c r="I3" s="290"/>
      <c r="J3" s="289"/>
      <c r="K3" s="200"/>
      <c r="L3" s="222"/>
      <c r="M3" s="289"/>
      <c r="N3" s="289"/>
      <c r="O3" s="289"/>
      <c r="P3" s="289"/>
      <c r="Q3" s="289"/>
      <c r="R3" s="289"/>
      <c r="S3" s="129"/>
    </row>
    <row r="4" spans="1:22" s="305" customFormat="1" x14ac:dyDescent="0.25">
      <c r="A4" s="286" t="s">
        <v>2</v>
      </c>
      <c r="B4" s="287"/>
      <c r="C4" s="288"/>
      <c r="D4" s="288"/>
      <c r="E4" s="288"/>
      <c r="F4" s="288"/>
      <c r="G4" s="112"/>
      <c r="H4" s="119"/>
      <c r="I4" s="289"/>
      <c r="J4" s="289"/>
      <c r="K4" s="200"/>
      <c r="L4" s="222"/>
      <c r="M4" s="291">
        <f>Q123-G122</f>
        <v>0</v>
      </c>
      <c r="N4" s="290"/>
      <c r="O4" s="290"/>
      <c r="P4" s="292"/>
      <c r="Q4" s="289"/>
      <c r="R4" s="289"/>
      <c r="S4" s="129"/>
    </row>
    <row r="5" spans="1:22" ht="16.149999999999999" customHeight="1" x14ac:dyDescent="0.25">
      <c r="A5" s="289"/>
      <c r="B5" s="405"/>
      <c r="C5" s="119"/>
      <c r="D5" s="293" t="s">
        <v>306</v>
      </c>
      <c r="E5" s="293" t="s">
        <v>305</v>
      </c>
      <c r="F5" s="293" t="s">
        <v>304</v>
      </c>
      <c r="G5" s="117"/>
      <c r="H5" s="113"/>
      <c r="I5" s="114"/>
      <c r="J5" s="114"/>
      <c r="K5" s="199"/>
      <c r="L5" s="221"/>
      <c r="M5" s="114"/>
      <c r="N5" s="114"/>
      <c r="O5" s="114"/>
      <c r="P5" s="114"/>
      <c r="Q5" s="114"/>
      <c r="R5" s="114"/>
      <c r="S5" s="115"/>
    </row>
    <row r="6" spans="1:22" ht="16.5" customHeight="1" x14ac:dyDescent="0.25">
      <c r="A6" s="408" t="s">
        <v>3</v>
      </c>
      <c r="B6" s="408"/>
      <c r="C6" s="408"/>
      <c r="D6" s="342"/>
      <c r="E6" s="342"/>
      <c r="F6" s="342"/>
      <c r="G6" s="409" t="s">
        <v>4</v>
      </c>
      <c r="H6" s="408" t="s">
        <v>5</v>
      </c>
      <c r="I6" s="408"/>
      <c r="J6" s="408"/>
      <c r="K6" s="408"/>
      <c r="L6" s="408"/>
      <c r="M6" s="408"/>
      <c r="N6" s="408"/>
      <c r="O6" s="408"/>
      <c r="P6" s="408"/>
      <c r="Q6" s="408"/>
      <c r="R6" s="424" t="s">
        <v>417</v>
      </c>
      <c r="S6" s="424"/>
    </row>
    <row r="7" spans="1:22" x14ac:dyDescent="0.25">
      <c r="A7" s="408"/>
      <c r="B7" s="408"/>
      <c r="C7" s="408"/>
      <c r="D7" s="342"/>
      <c r="E7" s="342"/>
      <c r="F7" s="342"/>
      <c r="G7" s="409"/>
      <c r="H7" s="408" t="s">
        <v>7</v>
      </c>
      <c r="I7" s="408"/>
      <c r="J7" s="408"/>
      <c r="K7" s="408"/>
      <c r="L7" s="405"/>
      <c r="M7" s="408" t="s">
        <v>8</v>
      </c>
      <c r="N7" s="408"/>
      <c r="O7" s="408"/>
      <c r="P7" s="408"/>
      <c r="Q7" s="408"/>
      <c r="R7" s="424"/>
      <c r="S7" s="424"/>
    </row>
    <row r="8" spans="1:22" s="322" customFormat="1" x14ac:dyDescent="0.25">
      <c r="A8" s="408"/>
      <c r="B8" s="408"/>
      <c r="C8" s="408"/>
      <c r="D8" s="342"/>
      <c r="E8" s="342"/>
      <c r="F8" s="342"/>
      <c r="G8" s="409"/>
      <c r="H8" s="406" t="s">
        <v>9</v>
      </c>
      <c r="I8" s="406" t="s">
        <v>10</v>
      </c>
      <c r="J8" s="406" t="s">
        <v>11</v>
      </c>
      <c r="K8" s="198" t="s">
        <v>12</v>
      </c>
      <c r="L8" s="198"/>
      <c r="M8" s="406" t="s">
        <v>9</v>
      </c>
      <c r="N8" s="406" t="s">
        <v>10</v>
      </c>
      <c r="O8" s="406" t="s">
        <v>11</v>
      </c>
      <c r="P8" s="406" t="s">
        <v>13</v>
      </c>
      <c r="Q8" s="406" t="s">
        <v>14</v>
      </c>
      <c r="R8" s="424"/>
      <c r="S8" s="424"/>
    </row>
    <row r="9" spans="1:22" ht="33" customHeight="1" x14ac:dyDescent="0.25">
      <c r="A9" s="425" t="s">
        <v>416</v>
      </c>
      <c r="B9" s="425"/>
      <c r="C9" s="425"/>
      <c r="D9" s="344"/>
      <c r="E9" s="344"/>
      <c r="F9" s="344"/>
      <c r="G9" s="112">
        <v>1316230465.0881391</v>
      </c>
      <c r="H9" s="113"/>
      <c r="I9" s="114"/>
      <c r="J9" s="114"/>
      <c r="K9" s="199"/>
      <c r="L9" s="221"/>
      <c r="M9" s="114"/>
      <c r="N9" s="114"/>
      <c r="O9" s="114"/>
      <c r="P9" s="114"/>
      <c r="Q9" s="114"/>
      <c r="R9" s="114"/>
      <c r="S9" s="114"/>
    </row>
    <row r="10" spans="1:22" x14ac:dyDescent="0.25">
      <c r="A10" s="114"/>
      <c r="B10" s="282"/>
      <c r="C10" s="113"/>
      <c r="D10" s="113"/>
      <c r="E10" s="113"/>
      <c r="F10" s="113"/>
      <c r="G10" s="117"/>
      <c r="H10" s="113"/>
      <c r="I10" s="114"/>
      <c r="J10" s="114"/>
      <c r="K10" s="199"/>
      <c r="L10" s="221"/>
      <c r="M10" s="117"/>
      <c r="N10" s="117"/>
      <c r="O10" s="117"/>
      <c r="P10" s="117"/>
      <c r="Q10" s="117"/>
      <c r="R10" s="117"/>
      <c r="S10" s="117"/>
      <c r="T10" s="148"/>
      <c r="U10" s="148"/>
      <c r="V10" s="148"/>
    </row>
    <row r="11" spans="1:22" s="305" customFormat="1" ht="15" customHeight="1" x14ac:dyDescent="0.25">
      <c r="A11" s="289"/>
      <c r="B11" s="405"/>
      <c r="C11" s="119" t="s">
        <v>16</v>
      </c>
      <c r="D11" s="119"/>
      <c r="E11" s="119"/>
      <c r="F11" s="119"/>
      <c r="G11" s="112">
        <f>SUM(G13:G14)</f>
        <v>0</v>
      </c>
      <c r="H11" s="120"/>
      <c r="I11" s="112">
        <v>0</v>
      </c>
      <c r="J11" s="112">
        <f>SUM(J13:J14)</f>
        <v>0</v>
      </c>
      <c r="K11" s="200">
        <f>+J11</f>
        <v>0</v>
      </c>
      <c r="L11" s="222"/>
      <c r="M11" s="112"/>
      <c r="N11" s="112"/>
      <c r="O11" s="112"/>
      <c r="P11" s="112">
        <f>SUM(P12:P13)</f>
        <v>0</v>
      </c>
      <c r="Q11" s="112">
        <f>SUM(Q13:Q14)</f>
        <v>0</v>
      </c>
      <c r="R11" s="112"/>
      <c r="S11" s="112"/>
      <c r="T11" s="298"/>
      <c r="U11" s="298"/>
      <c r="V11" s="298"/>
    </row>
    <row r="12" spans="1:22" s="334" customFormat="1" ht="15.6" customHeight="1" x14ac:dyDescent="0.25">
      <c r="A12" s="294"/>
      <c r="B12" s="280"/>
      <c r="C12" s="281" t="s">
        <v>17</v>
      </c>
      <c r="D12" s="281"/>
      <c r="E12" s="281"/>
      <c r="F12" s="281"/>
      <c r="G12" s="123"/>
      <c r="H12" s="124"/>
      <c r="I12" s="123"/>
      <c r="J12" s="123"/>
      <c r="K12" s="201"/>
      <c r="L12" s="223"/>
      <c r="M12" s="123"/>
      <c r="N12" s="123"/>
      <c r="O12" s="123"/>
      <c r="P12" s="123"/>
      <c r="Q12" s="123"/>
      <c r="R12" s="123"/>
      <c r="S12" s="123"/>
      <c r="T12" s="333"/>
      <c r="U12" s="333"/>
      <c r="V12" s="333"/>
    </row>
    <row r="13" spans="1:22" ht="15.6" customHeight="1" x14ac:dyDescent="0.25">
      <c r="A13" s="114"/>
      <c r="B13" s="282"/>
      <c r="C13" s="283" t="s">
        <v>18</v>
      </c>
      <c r="D13" s="283"/>
      <c r="E13" s="283"/>
      <c r="F13" s="283"/>
      <c r="G13" s="117"/>
      <c r="H13" s="128" t="s">
        <v>19</v>
      </c>
      <c r="I13" s="117">
        <v>0</v>
      </c>
      <c r="J13" s="117"/>
      <c r="K13" s="199">
        <f>J13</f>
        <v>0</v>
      </c>
      <c r="L13" s="221"/>
      <c r="M13" s="117" t="s">
        <v>20</v>
      </c>
      <c r="N13" s="117"/>
      <c r="O13" s="117"/>
      <c r="P13" s="117">
        <v>0</v>
      </c>
      <c r="Q13" s="117"/>
      <c r="R13" s="117"/>
      <c r="S13" s="117"/>
      <c r="T13" s="148"/>
      <c r="U13" s="148"/>
      <c r="V13" s="148"/>
    </row>
    <row r="14" spans="1:22" ht="15.6" customHeight="1" x14ac:dyDescent="0.25">
      <c r="A14" s="114"/>
      <c r="B14" s="282"/>
      <c r="C14" s="283" t="s">
        <v>21</v>
      </c>
      <c r="D14" s="283"/>
      <c r="E14" s="283"/>
      <c r="F14" s="283"/>
      <c r="G14" s="117"/>
      <c r="H14" s="128" t="s">
        <v>19</v>
      </c>
      <c r="I14" s="117"/>
      <c r="J14" s="117">
        <f>G14</f>
        <v>0</v>
      </c>
      <c r="K14" s="199">
        <f>J14</f>
        <v>0</v>
      </c>
      <c r="L14" s="221"/>
      <c r="M14" s="117" t="s">
        <v>22</v>
      </c>
      <c r="N14" s="117"/>
      <c r="O14" s="117"/>
      <c r="P14" s="117"/>
      <c r="Q14" s="117">
        <f>N14*-1</f>
        <v>0</v>
      </c>
      <c r="R14" s="117"/>
      <c r="S14" s="117"/>
      <c r="T14" s="148"/>
      <c r="U14" s="148"/>
      <c r="V14" s="148"/>
    </row>
    <row r="15" spans="1:22" s="305" customFormat="1" x14ac:dyDescent="0.25">
      <c r="A15" s="289"/>
      <c r="B15" s="405" t="s">
        <v>23</v>
      </c>
      <c r="C15" s="119"/>
      <c r="D15" s="119"/>
      <c r="E15" s="119"/>
      <c r="F15" s="119"/>
      <c r="G15" s="112">
        <f>SUM(G17:G116)</f>
        <v>-775311749.73916674</v>
      </c>
      <c r="H15" s="120"/>
      <c r="I15" s="112">
        <f>SUM(I17:I112)</f>
        <v>786599969.93916678</v>
      </c>
      <c r="J15" s="112">
        <f>SUM(J17:J112)</f>
        <v>10798220.199999999</v>
      </c>
      <c r="K15" s="200">
        <f>SUM(K17:K116)</f>
        <v>-775810449.56916678</v>
      </c>
      <c r="L15" s="222"/>
      <c r="M15" s="112"/>
      <c r="N15" s="112">
        <f>SUM(N17:N115)</f>
        <v>11288220.199999999</v>
      </c>
      <c r="O15" s="112">
        <f>SUM(O17:O115)</f>
        <v>786599969.93916678</v>
      </c>
      <c r="P15" s="112">
        <f>SUM(P17:P115)</f>
        <v>-763059560.44916677</v>
      </c>
      <c r="Q15" s="112">
        <f>SUM(Q17:Q116)</f>
        <v>12252189.289999999</v>
      </c>
      <c r="R15" s="112"/>
      <c r="S15" s="112"/>
      <c r="T15" s="298"/>
      <c r="U15" s="298"/>
      <c r="V15" s="298"/>
    </row>
    <row r="16" spans="1:22" s="334" customFormat="1" ht="31.5" x14ac:dyDescent="0.25">
      <c r="A16" s="294"/>
      <c r="B16" s="280" t="s">
        <v>237</v>
      </c>
      <c r="C16" s="281" t="s">
        <v>24</v>
      </c>
      <c r="D16" s="281"/>
      <c r="E16" s="281"/>
      <c r="F16" s="281"/>
      <c r="G16" s="123"/>
      <c r="H16" s="124"/>
      <c r="I16" s="123"/>
      <c r="J16" s="123"/>
      <c r="K16" s="201"/>
      <c r="L16" s="224"/>
      <c r="M16" s="123"/>
      <c r="N16" s="123"/>
      <c r="O16" s="123"/>
      <c r="P16" s="123"/>
      <c r="Q16" s="123"/>
      <c r="R16" s="123"/>
      <c r="S16" s="123"/>
      <c r="T16" s="333"/>
      <c r="U16" s="333"/>
      <c r="V16" s="333"/>
    </row>
    <row r="17" spans="1:22" ht="31.5" x14ac:dyDescent="0.25">
      <c r="A17" s="114"/>
      <c r="B17" s="282">
        <v>5010102000</v>
      </c>
      <c r="C17" s="283" t="s">
        <v>26</v>
      </c>
      <c r="D17" s="284">
        <f>IFERROR(VLOOKUP(B17,'WORKING PAPER FC1'!$I$19:$J$31,2,FALSE),0)</f>
        <v>0</v>
      </c>
      <c r="E17" s="283"/>
      <c r="F17" s="284">
        <f>IFERROR(VLOOKUP(B17,'WORKING PAPER FC1'!$I$11:$J$12,2,FALSE),0)</f>
        <v>0</v>
      </c>
      <c r="G17" s="117">
        <f>-8491.63+GETPIVOTDATA("-124,970.56 ",'WORKING PAPER FC1'!$C$11,"CHECK ADA DJ MDS ",5010102000)+GETPIVOTDATA("-783,135.31 ",'WORKING PAPER FC1'!$C$42,"GOP CHECK DJ",5010102000)+GETPIVOTDATA("-783,135.31 ",'WORKING PAPER FC1'!$C$42,"GOP CHECK DJ",5010302001)+GETPIVOTDATA("-2,361,246.75 ",'WORKING PAPER FC1'!$H$9,"MDS CHECK DJ",5010101001)+GETPIVOTDATA("-2,361,246.75 ",'WORKING PAPER FC1'!$H$9,"MDS CHECK DJ",5010102000)+GETPIVOTDATA("-956,139.58 ",'WORKING PAPER FC1'!$H$44,"GOP CHECK DJ",5010102000)+GETPIVOTDATA("-956,139.58 ",'WORKING PAPER FC1'!$H$44,"GOP CHECK DJ",5010299011)+GETPIVOTDATA("-956,139.58 ",'WORKING PAPER FC1'!$H$44,"GOP CHECK DJ",5010299014)+GETPIVOTDATA("-956,139.58 ",'WORKING PAPER FC1'!$H$44,"GOP CHECK DJ",5010499099)+GETPIVOTDATA("-6,252,875.05 ",'WORKING PAPER FC1'!$M$10,"MDS CHECK DJ",5010101001)+GETPIVOTDATA(" 10,965,887.49 ",'WORKING PAPER FC1'!$M$101,"GJ ",5010101001)+GETPIVOTDATA("-8,817,353.10 ",'WORKING PAPER FC1'!$M$124,"GOP CHECK DJ",5010102000)</f>
        <v>-611410.03</v>
      </c>
      <c r="H17" s="283" t="s">
        <v>26</v>
      </c>
      <c r="I17" s="117">
        <f t="shared" ref="I17:I23" si="0">G17*-1</f>
        <v>611410.03</v>
      </c>
      <c r="J17" s="117"/>
      <c r="K17" s="199">
        <f t="shared" ref="K17:K21" si="1">G17</f>
        <v>-611410.03</v>
      </c>
      <c r="L17" s="225">
        <v>2010101000</v>
      </c>
      <c r="M17" s="117" t="s">
        <v>25</v>
      </c>
      <c r="N17" s="117"/>
      <c r="O17" s="117">
        <f>I17</f>
        <v>611410.03</v>
      </c>
      <c r="P17" s="117"/>
      <c r="Q17" s="117">
        <f t="shared" ref="Q17:Q26" si="2">O17</f>
        <v>611410.03</v>
      </c>
      <c r="R17" s="117"/>
      <c r="S17" s="117"/>
      <c r="T17" s="148"/>
      <c r="U17" s="148"/>
      <c r="V17" s="148"/>
    </row>
    <row r="18" spans="1:22" ht="31.5" hidden="1" x14ac:dyDescent="0.25">
      <c r="A18" s="114"/>
      <c r="B18" s="282">
        <v>5010102000</v>
      </c>
      <c r="C18" s="283" t="s">
        <v>26</v>
      </c>
      <c r="D18" s="284">
        <f>IFERROR(VLOOKUP(B18,'WORKING PAPER FC1'!$I$19:$J$31,2,FALSE),0)</f>
        <v>0</v>
      </c>
      <c r="E18" s="283"/>
      <c r="F18" s="284">
        <f>IFERROR(VLOOKUP(B18,'WORKING PAPER FC1'!$I$11:$J$12,2,FALSE),0)</f>
        <v>0</v>
      </c>
      <c r="G18" s="117"/>
      <c r="H18" s="113" t="s">
        <v>26</v>
      </c>
      <c r="I18" s="117">
        <f t="shared" si="0"/>
        <v>0</v>
      </c>
      <c r="J18" s="117"/>
      <c r="K18" s="199">
        <f t="shared" si="1"/>
        <v>0</v>
      </c>
      <c r="L18" s="225">
        <v>2020102001</v>
      </c>
      <c r="M18" s="117" t="s">
        <v>291</v>
      </c>
      <c r="N18" s="117"/>
      <c r="O18" s="117">
        <f t="shared" ref="O18:O26" si="3">I18</f>
        <v>0</v>
      </c>
      <c r="P18" s="117"/>
      <c r="Q18" s="117">
        <f t="shared" si="2"/>
        <v>0</v>
      </c>
      <c r="R18" s="117"/>
      <c r="S18" s="117"/>
      <c r="T18" s="148"/>
      <c r="U18" s="148"/>
      <c r="V18" s="148"/>
    </row>
    <row r="19" spans="1:22" ht="31.5" hidden="1" x14ac:dyDescent="0.25">
      <c r="A19" s="114"/>
      <c r="B19" s="282">
        <v>5010102000</v>
      </c>
      <c r="C19" s="283" t="s">
        <v>26</v>
      </c>
      <c r="D19" s="284">
        <f>IFERROR(VLOOKUP(B19,'WORKING PAPER FC1'!$I$19:$J$31,2,FALSE),0)</f>
        <v>0</v>
      </c>
      <c r="E19" s="283"/>
      <c r="F19" s="284">
        <f>IFERROR(VLOOKUP(B19,'WORKING PAPER FC1'!$I$11:$J$12,2,FALSE),0)</f>
        <v>0</v>
      </c>
      <c r="G19" s="117"/>
      <c r="H19" s="113" t="s">
        <v>26</v>
      </c>
      <c r="I19" s="117">
        <f t="shared" si="0"/>
        <v>0</v>
      </c>
      <c r="J19" s="117"/>
      <c r="K19" s="199">
        <f t="shared" si="1"/>
        <v>0</v>
      </c>
      <c r="L19" s="225">
        <v>2020104000</v>
      </c>
      <c r="M19" s="117" t="s">
        <v>236</v>
      </c>
      <c r="N19" s="117"/>
      <c r="O19" s="117">
        <f t="shared" si="3"/>
        <v>0</v>
      </c>
      <c r="P19" s="117"/>
      <c r="Q19" s="117">
        <f t="shared" si="2"/>
        <v>0</v>
      </c>
      <c r="R19" s="117"/>
      <c r="S19" s="117"/>
      <c r="T19" s="148"/>
      <c r="U19" s="148"/>
      <c r="V19" s="148"/>
    </row>
    <row r="20" spans="1:22" ht="31.5" hidden="1" x14ac:dyDescent="0.25">
      <c r="A20" s="114"/>
      <c r="B20" s="282">
        <v>5010102000</v>
      </c>
      <c r="C20" s="283" t="s">
        <v>26</v>
      </c>
      <c r="D20" s="284">
        <f>IFERROR(VLOOKUP(B20,'WORKING PAPER FC1'!$I$19:$J$31,2,FALSE),0)</f>
        <v>0</v>
      </c>
      <c r="E20" s="283"/>
      <c r="F20" s="284">
        <f>IFERROR(VLOOKUP(B20,'WORKING PAPER FC1'!$I$11:$J$12,2,FALSE),0)</f>
        <v>0</v>
      </c>
      <c r="G20" s="117"/>
      <c r="H20" s="283" t="s">
        <v>26</v>
      </c>
      <c r="I20" s="117">
        <f t="shared" si="0"/>
        <v>0</v>
      </c>
      <c r="J20" s="117"/>
      <c r="K20" s="199">
        <f t="shared" si="1"/>
        <v>0</v>
      </c>
      <c r="L20" s="225">
        <v>2020103001</v>
      </c>
      <c r="M20" s="117" t="s">
        <v>292</v>
      </c>
      <c r="N20" s="117"/>
      <c r="O20" s="117">
        <f t="shared" si="3"/>
        <v>0</v>
      </c>
      <c r="P20" s="117"/>
      <c r="Q20" s="117">
        <f t="shared" si="2"/>
        <v>0</v>
      </c>
      <c r="R20" s="117"/>
      <c r="S20" s="117"/>
      <c r="T20" s="148"/>
      <c r="U20" s="148"/>
      <c r="V20" s="148"/>
    </row>
    <row r="21" spans="1:22" ht="31.5" hidden="1" x14ac:dyDescent="0.25">
      <c r="A21" s="114"/>
      <c r="B21" s="282">
        <v>5010301000</v>
      </c>
      <c r="C21" s="283" t="s">
        <v>27</v>
      </c>
      <c r="D21" s="284">
        <f>IFERROR(VLOOKUP(B21,'WORKING PAPER FC1'!$I$19:$J$31,2,FALSE),0)</f>
        <v>0</v>
      </c>
      <c r="E21" s="283"/>
      <c r="F21" s="284">
        <f>IFERROR(VLOOKUP(B21,'WORKING PAPER FC1'!$I$11:$J$12,2,FALSE),0)</f>
        <v>0</v>
      </c>
      <c r="G21" s="117"/>
      <c r="H21" s="283" t="s">
        <v>27</v>
      </c>
      <c r="I21" s="117">
        <f t="shared" si="0"/>
        <v>0</v>
      </c>
      <c r="J21" s="117"/>
      <c r="K21" s="199">
        <f t="shared" si="1"/>
        <v>0</v>
      </c>
      <c r="L21" s="225">
        <v>2010101000</v>
      </c>
      <c r="M21" s="117" t="s">
        <v>25</v>
      </c>
      <c r="N21" s="117"/>
      <c r="O21" s="117">
        <f t="shared" si="3"/>
        <v>0</v>
      </c>
      <c r="P21" s="117"/>
      <c r="Q21" s="117">
        <f t="shared" si="2"/>
        <v>0</v>
      </c>
      <c r="R21" s="117"/>
      <c r="S21" s="117"/>
      <c r="T21" s="148"/>
      <c r="U21" s="148"/>
      <c r="V21" s="148"/>
    </row>
    <row r="22" spans="1:22" x14ac:dyDescent="0.25">
      <c r="A22" s="114"/>
      <c r="B22" s="282">
        <v>5020502001</v>
      </c>
      <c r="C22" s="283" t="s">
        <v>80</v>
      </c>
      <c r="D22" s="284">
        <f>IFERROR(VLOOKUP(B22,'WORKING PAPER FC1'!$I$19:$J$31,2,FALSE),0)</f>
        <v>0</v>
      </c>
      <c r="E22" s="283"/>
      <c r="F22" s="284">
        <f>IFERROR(VLOOKUP(B22,'WORKING PAPER FC1'!$I$11:$J$12,2,FALSE),0)</f>
        <v>0</v>
      </c>
      <c r="G22" s="117">
        <f>GETPIVOTDATA("-124,970.56 ",'WORKING PAPER FC1'!$C$11,"CHECK ADA DJ MDS ",5020502002)+GETPIVOTDATA("-6,252,875.05 ",'WORKING PAPER FC1'!$M$10,"MDS CHECK DJ",5020502001)</f>
        <v>-4398.93</v>
      </c>
      <c r="H22" s="283" t="s">
        <v>80</v>
      </c>
      <c r="I22" s="117">
        <f t="shared" si="0"/>
        <v>4398.93</v>
      </c>
      <c r="J22" s="117"/>
      <c r="K22" s="199">
        <f>-I22-J22</f>
        <v>-4398.93</v>
      </c>
      <c r="L22" s="225">
        <v>2010101000</v>
      </c>
      <c r="M22" s="117" t="s">
        <v>25</v>
      </c>
      <c r="N22" s="117">
        <f>J22</f>
        <v>0</v>
      </c>
      <c r="O22" s="117">
        <f>I22</f>
        <v>4398.93</v>
      </c>
      <c r="P22" s="117"/>
      <c r="Q22" s="117">
        <f>N22+O22</f>
        <v>4398.93</v>
      </c>
      <c r="R22" s="117"/>
      <c r="S22" s="117"/>
      <c r="T22" s="148"/>
      <c r="U22" s="148"/>
      <c r="V22" s="148"/>
    </row>
    <row r="23" spans="1:22" x14ac:dyDescent="0.25">
      <c r="A23" s="114"/>
      <c r="B23" s="282">
        <v>5020101000</v>
      </c>
      <c r="C23" s="283" t="s">
        <v>28</v>
      </c>
      <c r="D23" s="284">
        <f>IFERROR(VLOOKUP(B23,'WORKING PAPER FC1'!$I$19:$J$31,2,FALSE),0)</f>
        <v>0</v>
      </c>
      <c r="E23" s="283"/>
      <c r="F23" s="284">
        <f>IFERROR(VLOOKUP(B23,'WORKING PAPER FC1'!$I$11:$J$12,2,FALSE),0)</f>
        <v>0</v>
      </c>
      <c r="G23" s="117">
        <f>GETPIVOTDATA("-2,361,246.75 ",'WORKING PAPER FC1'!$H$9,"MDS CHECK DJ",5020101000)+GETPIVOTDATA("-6,252,875.05 ",'WORKING PAPER FC1'!$M$10,"MDS CHECK DJ",5020101000)+GETPIVOTDATA("-8,817,353.10 ",'WORKING PAPER FC1'!$M$124,"GOP CHECK DJ",5020101000)</f>
        <v>-3710760.2800000003</v>
      </c>
      <c r="H23" s="113" t="s">
        <v>28</v>
      </c>
      <c r="I23" s="117">
        <f t="shared" si="0"/>
        <v>3710760.2800000003</v>
      </c>
      <c r="J23" s="117"/>
      <c r="K23" s="199">
        <f>-I23-J23</f>
        <v>-3710760.2800000003</v>
      </c>
      <c r="L23" s="225">
        <v>2010101000</v>
      </c>
      <c r="M23" s="117" t="s">
        <v>25</v>
      </c>
      <c r="N23" s="117">
        <f>J23</f>
        <v>0</v>
      </c>
      <c r="O23" s="117">
        <f>I23</f>
        <v>3710760.2800000003</v>
      </c>
      <c r="P23" s="117"/>
      <c r="Q23" s="117">
        <f>N23+O23</f>
        <v>3710760.2800000003</v>
      </c>
      <c r="R23" s="117"/>
      <c r="S23" s="117"/>
      <c r="T23" s="148"/>
      <c r="U23" s="148"/>
      <c r="V23" s="148"/>
    </row>
    <row r="24" spans="1:22" x14ac:dyDescent="0.25">
      <c r="A24" s="114"/>
      <c r="B24" s="282">
        <v>5020201002</v>
      </c>
      <c r="C24" s="283" t="s">
        <v>29</v>
      </c>
      <c r="D24" s="284">
        <f>IFERROR(VLOOKUP(B24,'WORKING PAPER FC1'!$I$19:$J$31,2,FALSE),0)</f>
        <v>0</v>
      </c>
      <c r="E24" s="283"/>
      <c r="F24" s="284">
        <f>IFERROR(VLOOKUP(B24,'WORKING PAPER FC1'!$I$11:$J$12,2,FALSE),0)</f>
        <v>0</v>
      </c>
      <c r="G24" s="117">
        <f>GETPIVOTDATA("-6,252,875.05 ",'WORKING PAPER FC1'!$M$10,"MDS CHECK DJ",5020201000)+'WORKING PAPER FC1'!L116+GETPIVOTDATA("-8,817,353.10 ",'WORKING PAPER FC1'!$M$124,"GOP CHECK DJ",5020201000)</f>
        <v>-10697910.699999999</v>
      </c>
      <c r="H24" s="113" t="s">
        <v>29</v>
      </c>
      <c r="I24" s="117">
        <f t="shared" ref="I24:I33" si="4">G24*-1-J24</f>
        <v>10697910.699999999</v>
      </c>
      <c r="J24" s="117"/>
      <c r="K24" s="199">
        <f t="shared" ref="K24:K34" si="5">G24</f>
        <v>-10697910.699999999</v>
      </c>
      <c r="L24" s="225">
        <v>2010101000</v>
      </c>
      <c r="M24" s="117" t="s">
        <v>25</v>
      </c>
      <c r="N24" s="117"/>
      <c r="O24" s="117">
        <f t="shared" si="3"/>
        <v>10697910.699999999</v>
      </c>
      <c r="P24" s="117"/>
      <c r="Q24" s="117">
        <f t="shared" si="2"/>
        <v>10697910.699999999</v>
      </c>
      <c r="R24" s="117"/>
      <c r="S24" s="117"/>
      <c r="T24" s="148"/>
      <c r="U24" s="148"/>
      <c r="V24" s="148"/>
    </row>
    <row r="25" spans="1:22" x14ac:dyDescent="0.25">
      <c r="A25" s="114"/>
      <c r="B25" s="282">
        <v>5021202000</v>
      </c>
      <c r="C25" s="283" t="s">
        <v>249</v>
      </c>
      <c r="D25" s="284">
        <f>IFERROR(VLOOKUP(B25,'WORKING PAPER FC1'!$I$19:$J$31,2,FALSE),0)</f>
        <v>0</v>
      </c>
      <c r="E25" s="283"/>
      <c r="F25" s="284">
        <f>IFERROR(VLOOKUP(B25,'WORKING PAPER FC1'!$I$11:$J$12,2,FALSE),0)</f>
        <v>0</v>
      </c>
      <c r="G25" s="117"/>
      <c r="H25" s="283" t="s">
        <v>249</v>
      </c>
      <c r="I25" s="117">
        <f t="shared" si="4"/>
        <v>0</v>
      </c>
      <c r="J25" s="117"/>
      <c r="K25" s="199">
        <f>G25</f>
        <v>0</v>
      </c>
      <c r="L25" s="225">
        <v>2010101000</v>
      </c>
      <c r="M25" s="117" t="s">
        <v>25</v>
      </c>
      <c r="N25" s="117"/>
      <c r="O25" s="117">
        <f t="shared" si="3"/>
        <v>0</v>
      </c>
      <c r="P25" s="117"/>
      <c r="Q25" s="117">
        <f t="shared" si="2"/>
        <v>0</v>
      </c>
      <c r="R25" s="117"/>
      <c r="S25" s="117"/>
      <c r="T25" s="148"/>
      <c r="U25" s="148"/>
      <c r="V25" s="148"/>
    </row>
    <row r="26" spans="1:22" x14ac:dyDescent="0.25">
      <c r="A26" s="114"/>
      <c r="B26" s="282">
        <v>5021203000</v>
      </c>
      <c r="C26" s="283" t="s">
        <v>52</v>
      </c>
      <c r="D26" s="284">
        <f>IFERROR(VLOOKUP(B26,'WORKING PAPER FC1'!$I$19:$J$31,2,FALSE),0)</f>
        <v>0</v>
      </c>
      <c r="E26" s="283"/>
      <c r="F26" s="284">
        <f>IFERROR(VLOOKUP(B26,'WORKING PAPER FC1'!$I$11:$J$12,2,FALSE),0)</f>
        <v>0</v>
      </c>
      <c r="G26" s="117">
        <f>GETPIVOTDATA("-783,135.31 ",'WORKING PAPER FC1'!$C$42,"GOP CHECK DJ",5021203000)+GETPIVOTDATA("-2,361,246.75 ",'WORKING PAPER FC1'!$H$9,"MDS CHECK DJ",5021203000)+GETPIVOTDATA("-956,139.58 ",'WORKING PAPER FC1'!$H$44,"GOP CHECK DJ",5021203000)</f>
        <v>-1598565.04</v>
      </c>
      <c r="H26" s="283" t="s">
        <v>52</v>
      </c>
      <c r="I26" s="117">
        <f t="shared" si="4"/>
        <v>1598565.04</v>
      </c>
      <c r="J26" s="117"/>
      <c r="K26" s="199">
        <f t="shared" si="5"/>
        <v>-1598565.04</v>
      </c>
      <c r="L26" s="225">
        <v>2010101000</v>
      </c>
      <c r="M26" s="117" t="s">
        <v>25</v>
      </c>
      <c r="N26" s="117"/>
      <c r="O26" s="117">
        <f t="shared" si="3"/>
        <v>1598565.04</v>
      </c>
      <c r="P26" s="117"/>
      <c r="Q26" s="117">
        <f t="shared" si="2"/>
        <v>1598565.04</v>
      </c>
      <c r="R26" s="117"/>
      <c r="S26" s="117"/>
      <c r="T26" s="148"/>
      <c r="U26" s="148"/>
      <c r="V26" s="148"/>
    </row>
    <row r="27" spans="1:22" x14ac:dyDescent="0.25">
      <c r="A27" s="114"/>
      <c r="B27" s="282">
        <v>5021499000</v>
      </c>
      <c r="C27" s="283" t="s">
        <v>34</v>
      </c>
      <c r="D27" s="284">
        <f>IFERROR(VLOOKUP(B27,'WORKING PAPER FC1'!$I$19:$J$31,2,FALSE),0)</f>
        <v>0</v>
      </c>
      <c r="E27" s="283"/>
      <c r="F27" s="284">
        <v>0</v>
      </c>
      <c r="G27" s="117">
        <f>GETPIVOTDATA("-2,361,246.75 ",'WORKING PAPER FC1'!$H$9,"MDS CHECK DJ",5021499000)+GETPIVOTDATA("-6,252,875.05 ",'WORKING PAPER FC1'!$M$10,"MDS CHECK DJ",5021499000)</f>
        <v>-5053364.0600000005</v>
      </c>
      <c r="H27" s="283" t="s">
        <v>34</v>
      </c>
      <c r="I27" s="117">
        <f t="shared" si="4"/>
        <v>5053364.0600000005</v>
      </c>
      <c r="J27" s="117"/>
      <c r="K27" s="199">
        <f t="shared" si="5"/>
        <v>-5053364.0600000005</v>
      </c>
      <c r="L27" s="225">
        <v>2010101000</v>
      </c>
      <c r="M27" s="117" t="s">
        <v>25</v>
      </c>
      <c r="N27" s="117"/>
      <c r="O27" s="117">
        <f t="shared" ref="O27:O34" si="6">I27</f>
        <v>5053364.0600000005</v>
      </c>
      <c r="P27" s="117"/>
      <c r="Q27" s="117">
        <f>O27</f>
        <v>5053364.0600000005</v>
      </c>
      <c r="R27" s="117"/>
      <c r="S27" s="117"/>
      <c r="T27" s="148"/>
      <c r="U27" s="148"/>
      <c r="V27" s="148"/>
    </row>
    <row r="28" spans="1:22" x14ac:dyDescent="0.25">
      <c r="A28" s="114"/>
      <c r="B28" s="282">
        <v>5020501000</v>
      </c>
      <c r="C28" s="283" t="s">
        <v>239</v>
      </c>
      <c r="D28" s="284">
        <f>IFERROR(VLOOKUP(B28,'WORKING PAPER FC1'!$I$19:$J$31,2,FALSE),0)</f>
        <v>0</v>
      </c>
      <c r="E28" s="283"/>
      <c r="F28" s="284">
        <f>IFERROR(VLOOKUP(B28,'WORKING PAPER FC1'!$I$11:$J$12,2,FALSE),0)</f>
        <v>0</v>
      </c>
      <c r="G28" s="117">
        <f>GETPIVOTDATA("-8,817,353.10 ",'WORKING PAPER FC1'!$M$124,"GOP CHECK DJ",5020501000)</f>
        <v>-21485</v>
      </c>
      <c r="H28" s="283" t="s">
        <v>239</v>
      </c>
      <c r="I28" s="117">
        <f t="shared" si="4"/>
        <v>21485</v>
      </c>
      <c r="J28" s="117"/>
      <c r="K28" s="199">
        <f>G28</f>
        <v>-21485</v>
      </c>
      <c r="L28" s="225">
        <v>2010101000</v>
      </c>
      <c r="M28" s="117" t="s">
        <v>25</v>
      </c>
      <c r="N28" s="117"/>
      <c r="O28" s="117">
        <f t="shared" si="6"/>
        <v>21485</v>
      </c>
      <c r="P28" s="117">
        <f>O28*-1</f>
        <v>-21485</v>
      </c>
      <c r="Q28" s="117"/>
      <c r="R28" s="117"/>
      <c r="S28" s="117"/>
      <c r="T28" s="148"/>
      <c r="U28" s="148"/>
      <c r="V28" s="148"/>
    </row>
    <row r="29" spans="1:22" ht="31.5" hidden="1" x14ac:dyDescent="0.25">
      <c r="A29" s="114"/>
      <c r="B29" s="282">
        <v>5020399000</v>
      </c>
      <c r="C29" s="283" t="s">
        <v>33</v>
      </c>
      <c r="D29" s="284"/>
      <c r="E29" s="283"/>
      <c r="F29" s="284">
        <f>IFERROR(VLOOKUP(B29,'WORKING PAPER FC1'!$I$11:$J$12,2,FALSE),0)</f>
        <v>0</v>
      </c>
      <c r="G29" s="117"/>
      <c r="H29" s="283" t="s">
        <v>33</v>
      </c>
      <c r="I29" s="117">
        <f t="shared" si="4"/>
        <v>0</v>
      </c>
      <c r="J29" s="117"/>
      <c r="K29" s="199">
        <f>G29</f>
        <v>0</v>
      </c>
      <c r="L29" s="225">
        <v>1010102000</v>
      </c>
      <c r="M29" s="117" t="s">
        <v>93</v>
      </c>
      <c r="N29" s="117"/>
      <c r="O29" s="117">
        <f t="shared" si="6"/>
        <v>0</v>
      </c>
      <c r="P29" s="117">
        <f>O29*-1</f>
        <v>0</v>
      </c>
      <c r="Q29" s="117"/>
      <c r="R29" s="117"/>
      <c r="S29" s="117"/>
      <c r="T29" s="148"/>
      <c r="U29" s="148"/>
      <c r="V29" s="148"/>
    </row>
    <row r="30" spans="1:22" x14ac:dyDescent="0.25">
      <c r="A30" s="114"/>
      <c r="B30" s="282">
        <v>5020301002</v>
      </c>
      <c r="C30" s="283" t="s">
        <v>30</v>
      </c>
      <c r="D30" s="284">
        <f>IFERROR(VLOOKUP(B30,'WORKING PAPER FC1'!$I$19:$J$31,2,FALSE),0)</f>
        <v>0</v>
      </c>
      <c r="E30" s="283"/>
      <c r="F30" s="284">
        <f>IFERROR(VLOOKUP(B30,'WORKING PAPER FC1'!$I$11:$J$12,2,FALSE),0)</f>
        <v>0</v>
      </c>
      <c r="G30" s="117">
        <f>GETPIVOTDATA("-2,361,246.75 ",'WORKING PAPER FC1'!$H$9,"MDS CHECK DJ",5020301000)</f>
        <v>-299996.90000000002</v>
      </c>
      <c r="H30" s="283" t="s">
        <v>30</v>
      </c>
      <c r="I30" s="117">
        <f t="shared" si="4"/>
        <v>299996.90000000002</v>
      </c>
      <c r="J30" s="117"/>
      <c r="K30" s="199">
        <f>-I30-J30</f>
        <v>-299996.90000000002</v>
      </c>
      <c r="L30" s="225">
        <v>2010101000</v>
      </c>
      <c r="M30" s="117" t="s">
        <v>25</v>
      </c>
      <c r="N30" s="117">
        <f>J30</f>
        <v>0</v>
      </c>
      <c r="O30" s="117">
        <f>I30</f>
        <v>299996.90000000002</v>
      </c>
      <c r="P30" s="117"/>
      <c r="Q30" s="117">
        <f>N30+O30</f>
        <v>299996.90000000002</v>
      </c>
      <c r="R30" s="117"/>
      <c r="S30" s="117"/>
      <c r="T30" s="148"/>
      <c r="U30" s="148"/>
      <c r="V30" s="148"/>
    </row>
    <row r="31" spans="1:22" x14ac:dyDescent="0.25">
      <c r="A31" s="114"/>
      <c r="B31" s="282">
        <v>5020301002</v>
      </c>
      <c r="C31" s="283" t="s">
        <v>30</v>
      </c>
      <c r="D31" s="284"/>
      <c r="E31" s="283"/>
      <c r="F31" s="284"/>
      <c r="G31" s="117">
        <f>GETPIVOTDATA("-3,564,509.92 ",'WORKING PAPER FC1'!$D$87,"KYRA",1040401000)+GETPIVOTDATA("-2,580,493.27 ",'WORKING PAPER FC1'!$I$74,"KYRA",1040401000)</f>
        <v>-4713240.07</v>
      </c>
      <c r="H31" s="283" t="s">
        <v>30</v>
      </c>
      <c r="I31" s="117">
        <f t="shared" si="4"/>
        <v>4713240.07</v>
      </c>
      <c r="J31" s="117"/>
      <c r="K31" s="199">
        <f>-I31-J31</f>
        <v>-4713240.07</v>
      </c>
      <c r="L31" s="225">
        <v>1040401000</v>
      </c>
      <c r="M31" s="117" t="s">
        <v>317</v>
      </c>
      <c r="N31" s="117"/>
      <c r="O31" s="117">
        <f>I31</f>
        <v>4713240.07</v>
      </c>
      <c r="P31" s="117">
        <f>O31*-1</f>
        <v>-4713240.07</v>
      </c>
      <c r="Q31" s="117"/>
      <c r="R31" s="117"/>
      <c r="S31" s="117"/>
      <c r="T31" s="148"/>
      <c r="U31" s="148"/>
      <c r="V31" s="148"/>
    </row>
    <row r="32" spans="1:22" ht="31.5" x14ac:dyDescent="0.25">
      <c r="A32" s="114"/>
      <c r="B32" s="282">
        <v>5020399000</v>
      </c>
      <c r="C32" s="283" t="s">
        <v>296</v>
      </c>
      <c r="D32" s="284">
        <f>IFERROR(VLOOKUP(B32,'WORKING PAPER FC1'!$I$19:$J$31,2,FALSE),0)</f>
        <v>0</v>
      </c>
      <c r="E32" s="283"/>
      <c r="F32" s="284">
        <f>IFERROR(VLOOKUP(B32,'WORKING PAPER FC1'!$I$11:$J$12,2,FALSE),0)</f>
        <v>0</v>
      </c>
      <c r="G32" s="117">
        <f>'WORKING PAPER FC1'!B114+'WORKING PAPER FC1'!G92+'WORKING PAPER FC1'!O6</f>
        <v>-357983342.94999993</v>
      </c>
      <c r="H32" s="283" t="s">
        <v>296</v>
      </c>
      <c r="I32" s="117">
        <f t="shared" si="4"/>
        <v>357983342.94999993</v>
      </c>
      <c r="J32" s="117"/>
      <c r="K32" s="199">
        <f>-I32-J32</f>
        <v>-357983342.94999993</v>
      </c>
      <c r="L32" s="225">
        <v>1040299000</v>
      </c>
      <c r="M32" s="117" t="s">
        <v>35</v>
      </c>
      <c r="N32" s="117">
        <f>J32</f>
        <v>0</v>
      </c>
      <c r="O32" s="117">
        <f>I32</f>
        <v>357983342.94999993</v>
      </c>
      <c r="P32" s="117">
        <f>(N32+O32)*-1</f>
        <v>-357983342.94999993</v>
      </c>
      <c r="Q32" s="117"/>
      <c r="R32" s="117"/>
      <c r="S32" s="117"/>
      <c r="T32" s="148"/>
      <c r="U32" s="482"/>
      <c r="V32" s="298"/>
    </row>
    <row r="33" spans="1:22" x14ac:dyDescent="0.25">
      <c r="A33" s="114"/>
      <c r="B33" s="282">
        <v>5020306000</v>
      </c>
      <c r="C33" s="283" t="s">
        <v>256</v>
      </c>
      <c r="D33" s="284">
        <f>IFERROR(VLOOKUP(B33,'WORKING PAPER FC1'!$I$19:$J$31,2,FALSE),0)</f>
        <v>0</v>
      </c>
      <c r="E33" s="283"/>
      <c r="F33" s="284">
        <f>IFERROR(VLOOKUP(B33,'WORKING PAPER FC1'!$I$11:$J$12,2,FALSE),0)</f>
        <v>0</v>
      </c>
      <c r="G33" s="117">
        <f>'WORKING PAPER FC1'!B111+'WORKING PAPER FC1'!G89+'WORKING PAPER FC1'!O5</f>
        <v>-226682583.98000002</v>
      </c>
      <c r="H33" s="283" t="s">
        <v>256</v>
      </c>
      <c r="I33" s="117">
        <f t="shared" si="4"/>
        <v>226682583.98000002</v>
      </c>
      <c r="J33" s="117"/>
      <c r="K33" s="199">
        <f>I33*-1</f>
        <v>-226682583.98000002</v>
      </c>
      <c r="L33" s="225">
        <v>1040202000</v>
      </c>
      <c r="M33" s="117" t="s">
        <v>36</v>
      </c>
      <c r="N33" s="117"/>
      <c r="O33" s="117">
        <f>G33*-1</f>
        <v>226682583.98000002</v>
      </c>
      <c r="P33" s="117">
        <f>(N33+O33)*-1</f>
        <v>-226682583.98000002</v>
      </c>
      <c r="Q33" s="117"/>
      <c r="R33" s="117"/>
      <c r="S33" s="117"/>
      <c r="T33" s="148"/>
      <c r="U33" s="148"/>
      <c r="V33" s="148"/>
    </row>
    <row r="34" spans="1:22" x14ac:dyDescent="0.25">
      <c r="A34" s="114"/>
      <c r="B34" s="282">
        <v>5021499000</v>
      </c>
      <c r="C34" s="283" t="s">
        <v>34</v>
      </c>
      <c r="D34" s="284">
        <f>IFERROR(VLOOKUP(B34,'WORKING PAPER FC1'!$I$19:$J$31,2,FALSE),0)</f>
        <v>0</v>
      </c>
      <c r="E34" s="283"/>
      <c r="F34" s="284">
        <f>IFERROR(VLOOKUP(B34,'WORKING PAPER FC1'!$I$11:$J$12,2,FALSE),0)</f>
        <v>0</v>
      </c>
      <c r="G34" s="117"/>
      <c r="H34" s="283" t="s">
        <v>34</v>
      </c>
      <c r="I34" s="117">
        <f t="shared" ref="I34:I75" si="7">G34*-1-J34</f>
        <v>0</v>
      </c>
      <c r="J34" s="117"/>
      <c r="K34" s="199">
        <f t="shared" si="5"/>
        <v>0</v>
      </c>
      <c r="L34" s="225">
        <v>2010101000</v>
      </c>
      <c r="M34" s="117" t="s">
        <v>25</v>
      </c>
      <c r="N34" s="117"/>
      <c r="O34" s="117">
        <f t="shared" si="6"/>
        <v>0</v>
      </c>
      <c r="P34" s="117"/>
      <c r="Q34" s="117">
        <f t="shared" ref="Q34:Q40" si="8">O34</f>
        <v>0</v>
      </c>
      <c r="R34" s="117"/>
      <c r="S34" s="117"/>
      <c r="T34" s="148"/>
      <c r="U34" s="148"/>
      <c r="V34" s="148"/>
    </row>
    <row r="35" spans="1:22" x14ac:dyDescent="0.25">
      <c r="A35" s="114"/>
      <c r="B35" s="282">
        <v>5021503000</v>
      </c>
      <c r="C35" s="283" t="s">
        <v>41</v>
      </c>
      <c r="D35" s="284">
        <f>IFERROR(VLOOKUP(B35,'WORKING PAPER FC1'!$I$19:$J$31,2,FALSE),0)</f>
        <v>0</v>
      </c>
      <c r="E35" s="283"/>
      <c r="F35" s="284">
        <f>IFERROR(VLOOKUP(B35,'WORKING PAPER FC1'!$I$11:$J$12,2,FALSE),0)</f>
        <v>0</v>
      </c>
      <c r="G35" s="117">
        <f>'WORKING PAPER FC1'!G95</f>
        <v>-390088.68916663527</v>
      </c>
      <c r="H35" s="283" t="s">
        <v>41</v>
      </c>
      <c r="I35" s="117">
        <f t="shared" si="7"/>
        <v>390088.68916663527</v>
      </c>
      <c r="J35" s="117"/>
      <c r="K35" s="199">
        <f t="shared" ref="K35:K50" si="9">G35</f>
        <v>-390088.68916663527</v>
      </c>
      <c r="L35" s="225">
        <v>1990205000</v>
      </c>
      <c r="M35" s="117" t="s">
        <v>407</v>
      </c>
      <c r="N35" s="117"/>
      <c r="O35" s="117">
        <f t="shared" ref="O35:O40" si="10">I35</f>
        <v>390088.68916663527</v>
      </c>
      <c r="P35" s="117">
        <f>(N35+O35)*-1</f>
        <v>-390088.68916663527</v>
      </c>
      <c r="Q35" s="117"/>
      <c r="R35" s="117"/>
      <c r="S35" s="117"/>
      <c r="T35" s="148"/>
      <c r="U35" s="148"/>
      <c r="V35" s="148"/>
    </row>
    <row r="36" spans="1:22" x14ac:dyDescent="0.25">
      <c r="A36" s="114"/>
      <c r="B36" s="282">
        <v>5020402000</v>
      </c>
      <c r="C36" s="283" t="s">
        <v>40</v>
      </c>
      <c r="D36" s="284">
        <f>IFERROR(VLOOKUP(B36,'WORKING PAPER FC1'!$I$19:$J$31,2,FALSE),0)</f>
        <v>0</v>
      </c>
      <c r="E36" s="283"/>
      <c r="F36" s="284">
        <f>IFERROR(VLOOKUP(B36,'WORKING PAPER FC1'!$I$11:$J$12,2,FALSE),0)</f>
        <v>0</v>
      </c>
      <c r="G36" s="117">
        <f>GETPIVOTDATA("-124,970.56 ",'WORKING PAPER FC1'!$C$11,"CHECK ADA DJ MDS ",5020402000)+GETPIVOTDATA("-2,361,246.75 ",'WORKING PAPER FC1'!$H$9,"MDS CHECK DJ",5020402000)</f>
        <v>-55368.6</v>
      </c>
      <c r="H36" s="113" t="s">
        <v>40</v>
      </c>
      <c r="I36" s="117">
        <f t="shared" si="7"/>
        <v>55368.6</v>
      </c>
      <c r="J36" s="117"/>
      <c r="K36" s="199">
        <f t="shared" si="9"/>
        <v>-55368.6</v>
      </c>
      <c r="L36" s="225">
        <v>2010101000</v>
      </c>
      <c r="M36" s="117" t="s">
        <v>25</v>
      </c>
      <c r="N36" s="117"/>
      <c r="O36" s="117">
        <f t="shared" si="10"/>
        <v>55368.6</v>
      </c>
      <c r="P36" s="117"/>
      <c r="Q36" s="117">
        <f t="shared" si="8"/>
        <v>55368.6</v>
      </c>
      <c r="R36" s="117"/>
      <c r="S36" s="117"/>
      <c r="T36" s="148"/>
      <c r="U36" s="148"/>
      <c r="V36" s="148"/>
    </row>
    <row r="37" spans="1:22" hidden="1" x14ac:dyDescent="0.25">
      <c r="A37" s="114"/>
      <c r="B37" s="282">
        <v>5020602000</v>
      </c>
      <c r="C37" s="283" t="s">
        <v>251</v>
      </c>
      <c r="D37" s="284">
        <f>IFERROR(VLOOKUP(B37,'WORKING PAPER FC1'!$I$19:$J$31,2,FALSE),0)</f>
        <v>0</v>
      </c>
      <c r="E37" s="283"/>
      <c r="F37" s="284">
        <f>IFERROR(VLOOKUP(B37,'WORKING PAPER FC1'!$I$11:$J$12,2,FALSE),0)</f>
        <v>0</v>
      </c>
      <c r="G37" s="117"/>
      <c r="H37" s="283" t="s">
        <v>251</v>
      </c>
      <c r="I37" s="117">
        <f t="shared" si="7"/>
        <v>0</v>
      </c>
      <c r="J37" s="117"/>
      <c r="K37" s="199">
        <f t="shared" si="9"/>
        <v>0</v>
      </c>
      <c r="L37" s="225">
        <v>2010101000</v>
      </c>
      <c r="M37" s="117" t="s">
        <v>25</v>
      </c>
      <c r="N37" s="117"/>
      <c r="O37" s="117">
        <f t="shared" si="10"/>
        <v>0</v>
      </c>
      <c r="P37" s="117"/>
      <c r="Q37" s="117">
        <f t="shared" si="8"/>
        <v>0</v>
      </c>
      <c r="R37" s="117"/>
      <c r="S37" s="117"/>
      <c r="T37" s="148"/>
      <c r="U37" s="148"/>
      <c r="V37" s="148"/>
    </row>
    <row r="38" spans="1:22" x14ac:dyDescent="0.25">
      <c r="A38" s="114"/>
      <c r="B38" s="282">
        <v>5029903000</v>
      </c>
      <c r="C38" s="283" t="s">
        <v>43</v>
      </c>
      <c r="D38" s="284">
        <f>IFERROR(VLOOKUP(B38,'WORKING PAPER FC1'!$I$19:$J$31,2,FALSE),0)</f>
        <v>0</v>
      </c>
      <c r="E38" s="285">
        <f>'WORKING PAPER FC1'!J14</f>
        <v>0</v>
      </c>
      <c r="F38" s="284">
        <f>IFERROR(VLOOKUP(B38,'WORKING PAPER FC1'!$I$11:$J$12,2,FALSE),0)</f>
        <v>0</v>
      </c>
      <c r="G38" s="117">
        <f>GETPIVOTDATA("-6,252,875.05 ",'WORKING PAPER FC1'!$M$10,"MDS CHECK DJ",5029903000)+GETPIVOTDATA("-8,817,353.10 ",'WORKING PAPER FC1'!$M$124,"GOP CHECK DJ",5029903000)</f>
        <v>-180585</v>
      </c>
      <c r="H38" s="113" t="s">
        <v>43</v>
      </c>
      <c r="I38" s="117">
        <f t="shared" si="7"/>
        <v>180585</v>
      </c>
      <c r="J38" s="117"/>
      <c r="K38" s="199">
        <f t="shared" si="9"/>
        <v>-180585</v>
      </c>
      <c r="L38" s="225">
        <v>2010101000</v>
      </c>
      <c r="M38" s="117" t="s">
        <v>25</v>
      </c>
      <c r="N38" s="117"/>
      <c r="O38" s="117">
        <f t="shared" si="10"/>
        <v>180585</v>
      </c>
      <c r="P38" s="117"/>
      <c r="Q38" s="117">
        <f t="shared" si="8"/>
        <v>180585</v>
      </c>
      <c r="R38" s="117"/>
      <c r="S38" s="117"/>
      <c r="T38" s="148"/>
      <c r="U38" s="148"/>
      <c r="V38" s="148"/>
    </row>
    <row r="39" spans="1:22" x14ac:dyDescent="0.25">
      <c r="A39" s="114"/>
      <c r="B39" s="282">
        <v>5020401000</v>
      </c>
      <c r="C39" s="283" t="s">
        <v>39</v>
      </c>
      <c r="D39" s="284">
        <f>IFERROR(VLOOKUP(B39,'WORKING PAPER FC1'!$I$19:$J$31,2,FALSE),0)</f>
        <v>0</v>
      </c>
      <c r="E39" s="283"/>
      <c r="F39" s="284">
        <f>IFERROR(VLOOKUP(B39,'WORKING PAPER FC1'!$I$11:$J$12,2,FALSE),0)</f>
        <v>0</v>
      </c>
      <c r="G39" s="117">
        <f>GETPIVOTDATA("-783,135.31 ",'WORKING PAPER FC1'!$C$42,"GOP CHECK DJ",5020401000)+GETPIVOTDATA("-8,817,353.10 ",'WORKING PAPER FC1'!$M$124,"GOP CHECK DJ",5020401000)</f>
        <v>-17400</v>
      </c>
      <c r="H39" s="283" t="s">
        <v>39</v>
      </c>
      <c r="I39" s="117">
        <f t="shared" si="7"/>
        <v>17400</v>
      </c>
      <c r="J39" s="117"/>
      <c r="K39" s="199">
        <f t="shared" si="9"/>
        <v>-17400</v>
      </c>
      <c r="L39" s="225">
        <v>2010101000</v>
      </c>
      <c r="M39" s="117" t="s">
        <v>25</v>
      </c>
      <c r="N39" s="117"/>
      <c r="O39" s="117">
        <f t="shared" si="10"/>
        <v>17400</v>
      </c>
      <c r="P39" s="117"/>
      <c r="Q39" s="117">
        <f t="shared" si="8"/>
        <v>17400</v>
      </c>
      <c r="R39" s="117"/>
      <c r="S39" s="117"/>
      <c r="T39" s="148"/>
      <c r="U39" s="148"/>
      <c r="V39" s="148"/>
    </row>
    <row r="40" spans="1:22" x14ac:dyDescent="0.25">
      <c r="A40" s="114"/>
      <c r="B40" s="282">
        <v>5020301001</v>
      </c>
      <c r="C40" s="283" t="s">
        <v>238</v>
      </c>
      <c r="D40" s="284">
        <f>IFERROR(VLOOKUP(B40,'WORKING PAPER FC1'!$I$19:$J$31,2,FALSE),0)</f>
        <v>0</v>
      </c>
      <c r="E40" s="283"/>
      <c r="F40" s="284">
        <f>IFERROR(VLOOKUP(B40,'WORKING PAPER FC1'!$I$11:$J$12,2,FALSE),0)</f>
        <v>0</v>
      </c>
      <c r="G40" s="117"/>
      <c r="H40" s="283" t="s">
        <v>238</v>
      </c>
      <c r="I40" s="117">
        <f t="shared" si="7"/>
        <v>0</v>
      </c>
      <c r="J40" s="117"/>
      <c r="K40" s="199">
        <f t="shared" si="9"/>
        <v>0</v>
      </c>
      <c r="L40" s="225">
        <v>2010101000</v>
      </c>
      <c r="M40" s="117" t="s">
        <v>25</v>
      </c>
      <c r="N40" s="117"/>
      <c r="O40" s="117">
        <f t="shared" si="10"/>
        <v>0</v>
      </c>
      <c r="P40" s="117"/>
      <c r="Q40" s="117">
        <f t="shared" si="8"/>
        <v>0</v>
      </c>
      <c r="R40" s="117"/>
      <c r="S40" s="117"/>
      <c r="T40" s="148"/>
      <c r="U40" s="148"/>
      <c r="V40" s="148"/>
    </row>
    <row r="41" spans="1:22" ht="31.5" x14ac:dyDescent="0.25">
      <c r="A41" s="114"/>
      <c r="B41" s="282">
        <v>5020307000</v>
      </c>
      <c r="C41" s="283" t="s">
        <v>44</v>
      </c>
      <c r="D41" s="284">
        <f>IFERROR(VLOOKUP(B41,'WORKING PAPER FC1'!$I$19:$J$31,2,FALSE),0)</f>
        <v>0</v>
      </c>
      <c r="E41" s="283"/>
      <c r="F41" s="284"/>
      <c r="G41" s="117">
        <f>GETPIVOTDATA("-3,564,509.92 ",'WORKING PAPER FC1'!$D$87,"KYRA",1040406000)</f>
        <v>-244024.76</v>
      </c>
      <c r="H41" s="283" t="s">
        <v>44</v>
      </c>
      <c r="I41" s="117">
        <f t="shared" si="7"/>
        <v>244024.76</v>
      </c>
      <c r="J41" s="117"/>
      <c r="K41" s="199">
        <f t="shared" si="9"/>
        <v>-244024.76</v>
      </c>
      <c r="L41" s="225">
        <v>1040406000</v>
      </c>
      <c r="M41" s="117" t="s">
        <v>316</v>
      </c>
      <c r="N41" s="117"/>
      <c r="O41" s="117">
        <f t="shared" ref="O41:O75" si="11">I41</f>
        <v>244024.76</v>
      </c>
      <c r="P41" s="117">
        <f>-O41</f>
        <v>-244024.76</v>
      </c>
      <c r="Q41" s="117"/>
      <c r="R41" s="117"/>
      <c r="S41" s="117"/>
      <c r="T41" s="148"/>
      <c r="U41" s="148"/>
      <c r="V41" s="148"/>
    </row>
    <row r="42" spans="1:22" x14ac:dyDescent="0.25">
      <c r="A42" s="114"/>
      <c r="B42" s="282">
        <v>5020305000</v>
      </c>
      <c r="C42" s="283" t="s">
        <v>31</v>
      </c>
      <c r="D42" s="284"/>
      <c r="E42" s="283"/>
      <c r="F42" s="284">
        <f>IFERROR(VLOOKUP(B42,'WORKING PAPER FC1'!$I$11:$J$12,2,FALSE),0)</f>
        <v>0</v>
      </c>
      <c r="G42" s="117"/>
      <c r="H42" s="283" t="s">
        <v>31</v>
      </c>
      <c r="I42" s="117">
        <f t="shared" si="7"/>
        <v>0</v>
      </c>
      <c r="J42" s="117"/>
      <c r="K42" s="199">
        <f t="shared" si="9"/>
        <v>0</v>
      </c>
      <c r="L42" s="225">
        <v>1010102000</v>
      </c>
      <c r="M42" s="117" t="s">
        <v>93</v>
      </c>
      <c r="N42" s="117"/>
      <c r="O42" s="117">
        <f t="shared" si="11"/>
        <v>0</v>
      </c>
      <c r="P42" s="117">
        <f>-O42</f>
        <v>0</v>
      </c>
      <c r="Q42" s="117"/>
      <c r="R42" s="117"/>
      <c r="S42" s="117"/>
      <c r="T42" s="148"/>
      <c r="U42" s="148"/>
      <c r="V42" s="148"/>
    </row>
    <row r="43" spans="1:22" ht="27.75" customHeight="1" x14ac:dyDescent="0.25">
      <c r="A43" s="114"/>
      <c r="B43" s="282">
        <v>5020305000</v>
      </c>
      <c r="C43" s="283" t="s">
        <v>31</v>
      </c>
      <c r="D43" s="284"/>
      <c r="E43" s="283"/>
      <c r="F43" s="284"/>
      <c r="G43" s="117">
        <f>GETPIVOTDATA("-3,564,509.92 ",'WORKING PAPER FC1'!$D$87,"KYRA",1040405000)+GETPIVOTDATA("-3,564,509.92 ",'WORKING PAPER FC1'!$D$87,"KYRA",5020399000)</f>
        <v>-932772.83</v>
      </c>
      <c r="H43" s="283" t="s">
        <v>31</v>
      </c>
      <c r="I43" s="117">
        <f>-G43</f>
        <v>932772.83</v>
      </c>
      <c r="J43" s="117"/>
      <c r="K43" s="199">
        <f>G43</f>
        <v>-932772.83</v>
      </c>
      <c r="L43" s="225">
        <v>1040405000</v>
      </c>
      <c r="M43" s="117" t="s">
        <v>32</v>
      </c>
      <c r="N43" s="117"/>
      <c r="O43" s="117">
        <f>-K43</f>
        <v>932772.83</v>
      </c>
      <c r="P43" s="117">
        <f>-O43</f>
        <v>-932772.83</v>
      </c>
      <c r="Q43" s="117"/>
      <c r="R43" s="117"/>
      <c r="S43" s="117"/>
      <c r="T43" s="148"/>
      <c r="U43" s="148"/>
      <c r="V43" s="148"/>
    </row>
    <row r="44" spans="1:22" ht="27" customHeight="1" x14ac:dyDescent="0.25">
      <c r="A44" s="114"/>
      <c r="B44" s="282">
        <v>5020399000</v>
      </c>
      <c r="C44" s="283" t="s">
        <v>296</v>
      </c>
      <c r="D44" s="401"/>
      <c r="E44" s="400"/>
      <c r="F44" s="401"/>
      <c r="G44" s="117">
        <f>GETPIVOTDATA("-3,564,509.92 ",'WORKING PAPER FC1'!$D$87,"KYRA",1040499000)+GETPIVOTDATA("-2,580,493.27 ",'WORKING PAPER FC1'!$I$74,"KYRA",1040499000)</f>
        <v>-711378.53</v>
      </c>
      <c r="H44" s="283" t="s">
        <v>296</v>
      </c>
      <c r="I44" s="117">
        <f>-G44</f>
        <v>711378.53</v>
      </c>
      <c r="J44" s="117"/>
      <c r="K44" s="199">
        <f>G44</f>
        <v>-711378.53</v>
      </c>
      <c r="L44" s="225">
        <v>1040499000</v>
      </c>
      <c r="M44" s="117" t="s">
        <v>399</v>
      </c>
      <c r="N44" s="117"/>
      <c r="O44" s="117">
        <f>-K44</f>
        <v>711378.53</v>
      </c>
      <c r="P44" s="117">
        <f>-O44</f>
        <v>-711378.53</v>
      </c>
      <c r="Q44" s="117"/>
      <c r="R44" s="117"/>
      <c r="S44" s="117"/>
      <c r="T44" s="148"/>
      <c r="U44" s="148"/>
      <c r="V44" s="148"/>
    </row>
    <row r="45" spans="1:22" ht="31.5" hidden="1" x14ac:dyDescent="0.25">
      <c r="A45" s="114"/>
      <c r="B45" s="282">
        <v>5020307000</v>
      </c>
      <c r="C45" s="283" t="s">
        <v>44</v>
      </c>
      <c r="D45" s="284"/>
      <c r="E45" s="283"/>
      <c r="F45" s="284">
        <f>IFERROR(VLOOKUP(B45,'WORKING PAPER FC1'!$I$11:$J$12,2,FALSE),0)</f>
        <v>0</v>
      </c>
      <c r="G45" s="117"/>
      <c r="H45" s="283" t="s">
        <v>44</v>
      </c>
      <c r="I45" s="117">
        <f t="shared" si="7"/>
        <v>0</v>
      </c>
      <c r="J45" s="117"/>
      <c r="K45" s="199">
        <f t="shared" si="9"/>
        <v>0</v>
      </c>
      <c r="L45" s="225">
        <v>1010102000</v>
      </c>
      <c r="M45" s="117" t="s">
        <v>93</v>
      </c>
      <c r="N45" s="117"/>
      <c r="O45" s="117">
        <f t="shared" si="11"/>
        <v>0</v>
      </c>
      <c r="P45" s="117">
        <f>O45*-1</f>
        <v>0</v>
      </c>
      <c r="Q45" s="117"/>
      <c r="R45" s="117"/>
      <c r="S45" s="117"/>
      <c r="T45" s="148"/>
      <c r="U45" s="148"/>
      <c r="V45" s="148"/>
    </row>
    <row r="46" spans="1:22" ht="29.25" customHeight="1" x14ac:dyDescent="0.25">
      <c r="A46" s="114"/>
      <c r="B46" s="282">
        <v>5021199000</v>
      </c>
      <c r="C46" s="283" t="s">
        <v>53</v>
      </c>
      <c r="D46" s="284">
        <f>IFERROR(VLOOKUP(B46,'WORKING PAPER FC1'!$I$19:$J$31,2,FALSE),0)</f>
        <v>0</v>
      </c>
      <c r="E46" s="283"/>
      <c r="F46" s="284">
        <f>IFERROR(VLOOKUP(B46,'WORKING PAPER FC1'!$I$11:$J$12,2,FALSE),0)</f>
        <v>0</v>
      </c>
      <c r="G46" s="117">
        <f>GETPIVOTDATA("-2,361,246.75 ",'WORKING PAPER FC1'!$H$9,"MDS CHECK DJ",5021199000)+GETPIVOTDATA("-956,139.58 ",'WORKING PAPER FC1'!$H$44,"GOP CHECK DJ",5021199000)+GETPIVOTDATA("-6,252,875.05 ",'WORKING PAPER FC1'!$M$10,"MDS CHECK DJ",5021199000)</f>
        <v>-130787.76999999999</v>
      </c>
      <c r="H46" s="283" t="s">
        <v>53</v>
      </c>
      <c r="I46" s="117">
        <f t="shared" si="7"/>
        <v>130787.76999999999</v>
      </c>
      <c r="J46" s="117"/>
      <c r="K46" s="199">
        <f>G46</f>
        <v>-130787.76999999999</v>
      </c>
      <c r="L46" s="225">
        <v>1010102000</v>
      </c>
      <c r="M46" s="117" t="s">
        <v>93</v>
      </c>
      <c r="N46" s="117"/>
      <c r="O46" s="117">
        <f t="shared" si="11"/>
        <v>130787.76999999999</v>
      </c>
      <c r="P46" s="117">
        <f>O46*-1</f>
        <v>-130787.76999999999</v>
      </c>
      <c r="Q46" s="117"/>
      <c r="R46" s="117"/>
      <c r="S46" s="117"/>
      <c r="T46" s="148"/>
      <c r="U46" s="148"/>
      <c r="V46" s="148"/>
    </row>
    <row r="47" spans="1:22" ht="47.25" x14ac:dyDescent="0.25">
      <c r="A47" s="114"/>
      <c r="B47" s="282">
        <v>5021306001</v>
      </c>
      <c r="C47" s="283" t="s">
        <v>57</v>
      </c>
      <c r="D47" s="284">
        <f>IFERROR(VLOOKUP(B47,'WORKING PAPER FC1'!$I$19:$J$31,2,FALSE),0)</f>
        <v>0</v>
      </c>
      <c r="E47" s="283"/>
      <c r="F47" s="284">
        <f>IFERROR(VLOOKUP(B47,'WORKING PAPER FC1'!$I$11:$J$12,2,FALSE),0)</f>
        <v>0</v>
      </c>
      <c r="G47" s="117"/>
      <c r="H47" s="283" t="s">
        <v>57</v>
      </c>
      <c r="I47" s="117">
        <f t="shared" si="7"/>
        <v>0</v>
      </c>
      <c r="J47" s="117"/>
      <c r="K47" s="199">
        <f t="shared" si="9"/>
        <v>0</v>
      </c>
      <c r="L47" s="225">
        <v>1010102000</v>
      </c>
      <c r="M47" s="117" t="s">
        <v>93</v>
      </c>
      <c r="N47" s="117"/>
      <c r="O47" s="117">
        <f t="shared" si="11"/>
        <v>0</v>
      </c>
      <c r="P47" s="117">
        <f>O47*-1</f>
        <v>0</v>
      </c>
      <c r="Q47" s="117"/>
      <c r="R47" s="117"/>
      <c r="S47" s="117"/>
      <c r="T47" s="148"/>
      <c r="U47" s="148"/>
      <c r="V47" s="148"/>
    </row>
    <row r="48" spans="1:22" ht="47.25" x14ac:dyDescent="0.25">
      <c r="A48" s="114"/>
      <c r="B48" s="282">
        <v>5021305003</v>
      </c>
      <c r="C48" s="283" t="s">
        <v>404</v>
      </c>
      <c r="D48" s="284"/>
      <c r="E48" s="283"/>
      <c r="F48" s="284"/>
      <c r="G48" s="117">
        <f>GETPIVOTDATA("-2,361,246.75 ",'WORKING PAPER FC1'!$H$9,"MDS CHECK DJ",5021305003)+GETPIVOTDATA("-8,817,353.10 ",'WORKING PAPER FC1'!$M$124,"GOP CHECK DJ",5021305002)</f>
        <v>-185146</v>
      </c>
      <c r="H48" s="283" t="s">
        <v>404</v>
      </c>
      <c r="I48" s="117">
        <f t="shared" si="7"/>
        <v>185146</v>
      </c>
      <c r="J48" s="117"/>
      <c r="K48" s="199">
        <f t="shared" si="9"/>
        <v>-185146</v>
      </c>
      <c r="L48" s="225">
        <v>2010101000</v>
      </c>
      <c r="M48" s="117" t="s">
        <v>25</v>
      </c>
      <c r="N48" s="117"/>
      <c r="O48" s="117">
        <f t="shared" si="11"/>
        <v>185146</v>
      </c>
      <c r="P48" s="117">
        <f>O48*-1</f>
        <v>-185146</v>
      </c>
      <c r="Q48" s="117"/>
      <c r="R48" s="117"/>
      <c r="S48" s="117"/>
      <c r="T48" s="148"/>
      <c r="U48" s="148"/>
      <c r="V48" s="148"/>
    </row>
    <row r="49" spans="1:22" ht="31.5" hidden="1" x14ac:dyDescent="0.25">
      <c r="A49" s="114"/>
      <c r="B49" s="282">
        <v>5029999099</v>
      </c>
      <c r="C49" s="283" t="s">
        <v>59</v>
      </c>
      <c r="D49" s="284">
        <f>IFERROR(VLOOKUP(B49,'WORKING PAPER FC1'!$I$19:$J$31,2,FALSE),0)</f>
        <v>0</v>
      </c>
      <c r="E49" s="283"/>
      <c r="F49" s="284">
        <f>IFERROR(VLOOKUP(B49,'WORKING PAPER FC1'!$I$11:$J$12,2,FALSE),0)</f>
        <v>0</v>
      </c>
      <c r="G49" s="117"/>
      <c r="H49" s="283" t="s">
        <v>59</v>
      </c>
      <c r="I49" s="117">
        <f t="shared" si="7"/>
        <v>0</v>
      </c>
      <c r="J49" s="117"/>
      <c r="K49" s="199">
        <f t="shared" si="9"/>
        <v>0</v>
      </c>
      <c r="L49" s="225">
        <v>1010102000</v>
      </c>
      <c r="M49" s="117" t="s">
        <v>93</v>
      </c>
      <c r="N49" s="117"/>
      <c r="O49" s="117">
        <f t="shared" si="11"/>
        <v>0</v>
      </c>
      <c r="P49" s="117">
        <f>O49*-1</f>
        <v>0</v>
      </c>
      <c r="Q49" s="117"/>
      <c r="R49" s="117"/>
      <c r="S49" s="117"/>
      <c r="T49" s="148"/>
      <c r="U49" s="148"/>
      <c r="V49" s="148"/>
    </row>
    <row r="50" spans="1:22" hidden="1" x14ac:dyDescent="0.25">
      <c r="A50" s="114"/>
      <c r="B50" s="282">
        <v>5020301001</v>
      </c>
      <c r="C50" s="283" t="s">
        <v>238</v>
      </c>
      <c r="D50" s="284">
        <f>IFERROR(VLOOKUP(B50,'WORKING PAPER FC1'!$I$19:$J$31,2,FALSE),0)</f>
        <v>0</v>
      </c>
      <c r="E50" s="283"/>
      <c r="F50" s="284">
        <f>IFERROR(VLOOKUP(B50,'WORKING PAPER FC1'!$I$11:$J$12,2,FALSE),0)</f>
        <v>0</v>
      </c>
      <c r="G50" s="117"/>
      <c r="H50" s="283" t="s">
        <v>238</v>
      </c>
      <c r="I50" s="117">
        <f t="shared" si="7"/>
        <v>0</v>
      </c>
      <c r="J50" s="117"/>
      <c r="K50" s="199">
        <f t="shared" si="9"/>
        <v>0</v>
      </c>
      <c r="L50" s="225">
        <v>1010102000</v>
      </c>
      <c r="M50" s="117" t="s">
        <v>93</v>
      </c>
      <c r="N50" s="117"/>
      <c r="O50" s="117">
        <f t="shared" si="11"/>
        <v>0</v>
      </c>
      <c r="P50" s="117">
        <f>-O50</f>
        <v>0</v>
      </c>
      <c r="Q50" s="117"/>
      <c r="R50" s="117"/>
      <c r="S50" s="117"/>
      <c r="T50" s="148"/>
      <c r="U50" s="148"/>
      <c r="V50" s="148"/>
    </row>
    <row r="51" spans="1:22" ht="47.25" x14ac:dyDescent="0.25">
      <c r="A51" s="114"/>
      <c r="B51" s="282">
        <v>5020321002</v>
      </c>
      <c r="C51" s="283" t="s">
        <v>250</v>
      </c>
      <c r="D51" s="284">
        <f>IFERROR(VLOOKUP(B51,'WORKING PAPER FC1'!$I$19:$J$31,2,FALSE),0)</f>
        <v>0</v>
      </c>
      <c r="E51" s="283"/>
      <c r="F51" s="284">
        <f>IFERROR(VLOOKUP(B51,'WORKING PAPER FC1'!$I$11:$J$12,2,FALSE),0)</f>
        <v>0</v>
      </c>
      <c r="G51" s="117">
        <f>GETPIVOTDATA("-2,139,728.45 ",'WORKING PAPER FC1'!$I$82,"GENNY",1040502000)+GETPIVOTDATA(" 10,965,887.49 ",'WORKING PAPER FC1'!$M$101,"GJ ",5020321002)</f>
        <v>-147895</v>
      </c>
      <c r="H51" s="283" t="s">
        <v>250</v>
      </c>
      <c r="I51" s="117">
        <f t="shared" si="7"/>
        <v>147895</v>
      </c>
      <c r="J51" s="117"/>
      <c r="K51" s="199">
        <f>G51</f>
        <v>-147895</v>
      </c>
      <c r="L51" s="225">
        <v>1040502000</v>
      </c>
      <c r="M51" s="117" t="s">
        <v>47</v>
      </c>
      <c r="N51" s="117"/>
      <c r="O51" s="117">
        <f t="shared" si="11"/>
        <v>147895</v>
      </c>
      <c r="P51" s="117">
        <f>-O51</f>
        <v>-147895</v>
      </c>
      <c r="Q51" s="117"/>
      <c r="R51" s="117"/>
      <c r="S51" s="117"/>
      <c r="T51" s="148"/>
      <c r="U51" s="148"/>
      <c r="V51" s="148"/>
    </row>
    <row r="52" spans="1:22" ht="47.25" hidden="1" x14ac:dyDescent="0.25">
      <c r="A52" s="114"/>
      <c r="B52" s="282">
        <v>5020321002</v>
      </c>
      <c r="C52" s="283" t="s">
        <v>250</v>
      </c>
      <c r="D52" s="284"/>
      <c r="E52" s="283"/>
      <c r="F52" s="284"/>
      <c r="G52" s="117"/>
      <c r="H52" s="283" t="s">
        <v>250</v>
      </c>
      <c r="I52" s="117">
        <f t="shared" si="7"/>
        <v>0</v>
      </c>
      <c r="J52" s="117"/>
      <c r="K52" s="199">
        <f>G52</f>
        <v>0</v>
      </c>
      <c r="L52" s="225">
        <v>2010101000</v>
      </c>
      <c r="M52" s="117" t="s">
        <v>25</v>
      </c>
      <c r="N52" s="117"/>
      <c r="O52" s="117">
        <f t="shared" si="11"/>
        <v>0</v>
      </c>
      <c r="P52" s="117">
        <f>-O52</f>
        <v>0</v>
      </c>
      <c r="Q52" s="117"/>
      <c r="R52" s="117"/>
      <c r="S52" s="117"/>
      <c r="T52" s="148"/>
      <c r="U52" s="148"/>
      <c r="V52" s="148"/>
    </row>
    <row r="53" spans="1:22" ht="15" customHeight="1" x14ac:dyDescent="0.25">
      <c r="A53" s="114"/>
      <c r="B53" s="282">
        <v>5021199000</v>
      </c>
      <c r="C53" s="283" t="s">
        <v>53</v>
      </c>
      <c r="D53" s="284">
        <f>IFERROR(VLOOKUP(B53,'WORKING PAPER FC1'!$I$19:$J$31,2,FALSE),0)</f>
        <v>0</v>
      </c>
      <c r="E53" s="283"/>
      <c r="F53" s="284">
        <f>IFERROR(VLOOKUP(B53,'WORKING PAPER FC1'!$I$11:$J$12,2,FALSE),0)</f>
        <v>0</v>
      </c>
      <c r="G53" s="117">
        <f>GETPIVOTDATA("-124,970.56 ",'WORKING PAPER FC1'!$C$11,"CHECK ADA DJ MDS ",5021199000)+GETPIVOTDATA("-783,135.31 ",'WORKING PAPER FC1'!$C$42,"GOP CHECK DJ",5021199000)</f>
        <v>-106764.70000000001</v>
      </c>
      <c r="H53" s="113" t="s">
        <v>53</v>
      </c>
      <c r="I53" s="117">
        <f t="shared" si="7"/>
        <v>106764.70000000001</v>
      </c>
      <c r="J53" s="117"/>
      <c r="K53" s="199">
        <f>-I53-J53</f>
        <v>-106764.70000000001</v>
      </c>
      <c r="L53" s="225">
        <v>2010101000</v>
      </c>
      <c r="M53" s="117" t="s">
        <v>25</v>
      </c>
      <c r="N53" s="117">
        <f>J53</f>
        <v>0</v>
      </c>
      <c r="O53" s="117">
        <f t="shared" si="11"/>
        <v>106764.70000000001</v>
      </c>
      <c r="P53" s="117"/>
      <c r="Q53" s="117">
        <f>O53+N53</f>
        <v>106764.70000000001</v>
      </c>
      <c r="R53" s="117"/>
      <c r="S53" s="117"/>
      <c r="T53" s="148"/>
      <c r="U53" s="148"/>
      <c r="V53" s="148"/>
    </row>
    <row r="54" spans="1:22" ht="47.25" hidden="1" x14ac:dyDescent="0.25">
      <c r="A54" s="114"/>
      <c r="B54" s="282">
        <v>5021304001</v>
      </c>
      <c r="C54" s="283" t="s">
        <v>56</v>
      </c>
      <c r="D54" s="284">
        <f>IFERROR(VLOOKUP(B54,'WORKING PAPER FC1'!$I$19:$J$31,2,FALSE),0)</f>
        <v>0</v>
      </c>
      <c r="E54" s="283"/>
      <c r="F54" s="284">
        <f>IFERROR(VLOOKUP(B54,'WORKING PAPER FC1'!$I$11:$J$12,2,FALSE),0)</f>
        <v>0</v>
      </c>
      <c r="G54" s="117"/>
      <c r="H54" s="283" t="s">
        <v>56</v>
      </c>
      <c r="I54" s="117">
        <f t="shared" si="7"/>
        <v>0</v>
      </c>
      <c r="J54" s="117"/>
      <c r="K54" s="199">
        <f t="shared" ref="K54" si="12">G54</f>
        <v>0</v>
      </c>
      <c r="L54" s="225">
        <v>2010101000</v>
      </c>
      <c r="M54" s="117" t="s">
        <v>25</v>
      </c>
      <c r="N54" s="117"/>
      <c r="O54" s="117">
        <f t="shared" si="11"/>
        <v>0</v>
      </c>
      <c r="P54" s="117"/>
      <c r="Q54" s="117">
        <f>O54</f>
        <v>0</v>
      </c>
      <c r="R54" s="117"/>
      <c r="S54" s="117"/>
      <c r="T54" s="148"/>
      <c r="U54" s="148"/>
      <c r="V54" s="148"/>
    </row>
    <row r="55" spans="1:22" ht="47.25" hidden="1" x14ac:dyDescent="0.25">
      <c r="A55" s="114"/>
      <c r="B55" s="282">
        <v>5021306001</v>
      </c>
      <c r="C55" s="283" t="s">
        <v>57</v>
      </c>
      <c r="D55" s="284">
        <f>IFERROR(VLOOKUP(B55,'WORKING PAPER FC1'!$I$19:$J$31,2,FALSE),0)</f>
        <v>0</v>
      </c>
      <c r="E55" s="283"/>
      <c r="F55" s="284">
        <f>IFERROR(VLOOKUP(B55,'WORKING PAPER FC1'!$I$11:$J$12,2,FALSE),0)</f>
        <v>0</v>
      </c>
      <c r="G55" s="117"/>
      <c r="H55" s="113" t="s">
        <v>57</v>
      </c>
      <c r="I55" s="117">
        <f t="shared" si="7"/>
        <v>0</v>
      </c>
      <c r="J55" s="117"/>
      <c r="K55" s="199">
        <f>-I55-J55</f>
        <v>0</v>
      </c>
      <c r="L55" s="225">
        <v>2010101000</v>
      </c>
      <c r="M55" s="117" t="s">
        <v>25</v>
      </c>
      <c r="N55" s="117">
        <f>J55</f>
        <v>0</v>
      </c>
      <c r="O55" s="117">
        <f t="shared" si="11"/>
        <v>0</v>
      </c>
      <c r="P55" s="117"/>
      <c r="Q55" s="117">
        <f>O55+N55</f>
        <v>0</v>
      </c>
      <c r="R55" s="117"/>
      <c r="S55" s="117"/>
      <c r="T55" s="148"/>
      <c r="U55" s="148"/>
      <c r="V55" s="148"/>
    </row>
    <row r="56" spans="1:22" ht="31.5" x14ac:dyDescent="0.25">
      <c r="A56" s="114"/>
      <c r="B56" s="282">
        <v>5020309000</v>
      </c>
      <c r="C56" s="283" t="s">
        <v>37</v>
      </c>
      <c r="D56" s="284">
        <f>IFERROR(VLOOKUP(B56,'WORKING PAPER FC1'!$I$19:$J$31,2,FALSE),0)</f>
        <v>0</v>
      </c>
      <c r="E56" s="283"/>
      <c r="F56" s="284">
        <f>IFERROR(VLOOKUP(B56,'WORKING PAPER FC1'!$I$11:$J$12,2,FALSE),0)</f>
        <v>0</v>
      </c>
      <c r="G56" s="117">
        <f>GETPIVOTDATA("-8,817,353.10 ",'WORKING PAPER FC1'!$M$124,"GOP CHECK DJ",5020309000)</f>
        <v>-2906.83</v>
      </c>
      <c r="H56" s="283" t="s">
        <v>37</v>
      </c>
      <c r="I56" s="117">
        <f t="shared" si="7"/>
        <v>2906.83</v>
      </c>
      <c r="J56" s="117"/>
      <c r="K56" s="199">
        <f t="shared" ref="K56:K75" si="13">G56</f>
        <v>-2906.83</v>
      </c>
      <c r="L56" s="225">
        <v>2010101000</v>
      </c>
      <c r="M56" s="117" t="s">
        <v>25</v>
      </c>
      <c r="N56" s="117"/>
      <c r="O56" s="117">
        <f t="shared" si="11"/>
        <v>2906.83</v>
      </c>
      <c r="P56" s="117"/>
      <c r="Q56" s="117">
        <f>O56-N56</f>
        <v>2906.83</v>
      </c>
      <c r="R56" s="117"/>
      <c r="S56" s="117"/>
      <c r="T56" s="148"/>
      <c r="U56" s="148"/>
      <c r="V56" s="148"/>
    </row>
    <row r="57" spans="1:22" ht="47.25" x14ac:dyDescent="0.25">
      <c r="A57" s="114"/>
      <c r="B57" s="282">
        <v>5020321003</v>
      </c>
      <c r="C57" s="283" t="s">
        <v>49</v>
      </c>
      <c r="D57" s="284">
        <f>IFERROR(VLOOKUP(B57,'WORKING PAPER FC1'!$I$19:$J$31,2,FALSE),0)</f>
        <v>0</v>
      </c>
      <c r="E57" s="283"/>
      <c r="F57" s="284">
        <f>IFERROR(VLOOKUP(B57,'WORKING PAPER FC1'!$I$11:$J$12,2,FALSE),0)</f>
        <v>0</v>
      </c>
      <c r="G57" s="117">
        <f>'WORKING PAPER FC1'!B108+GETPIVOTDATA("-2,139,728.45 ",'WORKING PAPER FC1'!$I$82,"GENNY",1040503000)+GETPIVOTDATA(" 10,965,887.49 ",'WORKING PAPER FC1'!$M$101,"GJ ",5020321003)</f>
        <v>-997388.45</v>
      </c>
      <c r="H57" s="283" t="s">
        <v>49</v>
      </c>
      <c r="I57" s="117">
        <f t="shared" si="7"/>
        <v>997388.45</v>
      </c>
      <c r="J57" s="117"/>
      <c r="K57" s="199">
        <f t="shared" si="13"/>
        <v>-997388.45</v>
      </c>
      <c r="L57" s="225">
        <v>1040503000</v>
      </c>
      <c r="M57" s="128" t="s">
        <v>105</v>
      </c>
      <c r="N57" s="117"/>
      <c r="O57" s="117">
        <f t="shared" si="11"/>
        <v>997388.45</v>
      </c>
      <c r="P57" s="117">
        <f>-O57</f>
        <v>-997388.45</v>
      </c>
      <c r="Q57" s="117"/>
      <c r="R57" s="117"/>
      <c r="S57" s="117"/>
      <c r="T57" s="148"/>
      <c r="U57" s="148"/>
      <c r="V57" s="148"/>
    </row>
    <row r="58" spans="1:22" ht="31.5" x14ac:dyDescent="0.25">
      <c r="A58" s="114"/>
      <c r="B58" s="282">
        <v>5029999099</v>
      </c>
      <c r="C58" s="283" t="s">
        <v>59</v>
      </c>
      <c r="D58" s="284">
        <f>IFERROR(VLOOKUP(B58,'WORKING PAPER FC1'!$I$19:$J$31,2,FALSE),0)</f>
        <v>0</v>
      </c>
      <c r="E58" s="283"/>
      <c r="F58" s="284">
        <f>IFERROR(VLOOKUP(B58,'WORKING PAPER FC1'!$I$11:$J$12,2,FALSE),0)</f>
        <v>0</v>
      </c>
      <c r="G58" s="117">
        <f>GETPIVOTDATA("-2,361,246.75 ",'WORKING PAPER FC1'!$H$9,"MDS CHECK DJ",5029999099)+GETPIVOTDATA("-6,252,875.05 ",'WORKING PAPER FC1'!$M$10,"MDS CHECK DJ",5029999099)+GETPIVOTDATA("-8,817,353.10 ",'WORKING PAPER FC1'!$M$124,"GOP CHECK DJ",5029999099)</f>
        <v>-452233.93</v>
      </c>
      <c r="H58" s="113" t="s">
        <v>59</v>
      </c>
      <c r="I58" s="117">
        <f t="shared" si="7"/>
        <v>452233.93</v>
      </c>
      <c r="J58" s="117"/>
      <c r="K58" s="199">
        <f t="shared" si="13"/>
        <v>-452233.93</v>
      </c>
      <c r="L58" s="225">
        <v>2010101000</v>
      </c>
      <c r="M58" s="117" t="s">
        <v>25</v>
      </c>
      <c r="N58" s="117"/>
      <c r="O58" s="117">
        <f t="shared" si="11"/>
        <v>452233.93</v>
      </c>
      <c r="P58" s="117"/>
      <c r="Q58" s="117">
        <f>O58</f>
        <v>452233.93</v>
      </c>
      <c r="R58" s="117"/>
      <c r="S58" s="117"/>
      <c r="T58" s="148"/>
      <c r="U58" s="148"/>
      <c r="V58" s="148"/>
    </row>
    <row r="59" spans="1:22" hidden="1" x14ac:dyDescent="0.25">
      <c r="A59" s="114"/>
      <c r="B59" s="282">
        <v>5029901000</v>
      </c>
      <c r="C59" s="283" t="s">
        <v>173</v>
      </c>
      <c r="D59" s="284">
        <f>IFERROR(VLOOKUP(B59,'WORKING PAPER FC1'!$I$19:$J$31,2,FALSE),0)</f>
        <v>0</v>
      </c>
      <c r="E59" s="283"/>
      <c r="F59" s="284">
        <f>IFERROR(VLOOKUP(B59,'WORKING PAPER FC1'!$I$11:$J$12,2,FALSE),0)</f>
        <v>0</v>
      </c>
      <c r="G59" s="117"/>
      <c r="H59" s="283" t="s">
        <v>173</v>
      </c>
      <c r="I59" s="117">
        <f t="shared" si="7"/>
        <v>0</v>
      </c>
      <c r="J59" s="117"/>
      <c r="K59" s="199">
        <f t="shared" si="13"/>
        <v>0</v>
      </c>
      <c r="L59" s="225">
        <v>2010101000</v>
      </c>
      <c r="M59" s="117" t="s">
        <v>25</v>
      </c>
      <c r="N59" s="117"/>
      <c r="O59" s="117">
        <f t="shared" si="11"/>
        <v>0</v>
      </c>
      <c r="P59" s="117"/>
      <c r="Q59" s="117">
        <f>O59</f>
        <v>0</v>
      </c>
      <c r="R59" s="117"/>
      <c r="S59" s="117"/>
      <c r="T59" s="148"/>
      <c r="U59" s="148"/>
      <c r="V59" s="148"/>
    </row>
    <row r="60" spans="1:22" hidden="1" x14ac:dyDescent="0.25">
      <c r="A60" s="114"/>
      <c r="B60" s="282">
        <v>5020306000</v>
      </c>
      <c r="C60" s="283" t="s">
        <v>256</v>
      </c>
      <c r="D60" s="284"/>
      <c r="E60" s="283"/>
      <c r="F60" s="284">
        <f>IFERROR(VLOOKUP(B60,'WORKING PAPER FC1'!$I$11:$J$12,2,FALSE),0)</f>
        <v>0</v>
      </c>
      <c r="G60" s="117"/>
      <c r="H60" s="283" t="s">
        <v>256</v>
      </c>
      <c r="I60" s="117">
        <f t="shared" si="7"/>
        <v>0</v>
      </c>
      <c r="J60" s="117"/>
      <c r="K60" s="199">
        <f t="shared" si="13"/>
        <v>0</v>
      </c>
      <c r="L60" s="225">
        <v>2010101000</v>
      </c>
      <c r="M60" s="117" t="s">
        <v>25</v>
      </c>
      <c r="N60" s="117"/>
      <c r="O60" s="117">
        <f t="shared" si="11"/>
        <v>0</v>
      </c>
      <c r="P60" s="117"/>
      <c r="Q60" s="117">
        <f>O60</f>
        <v>0</v>
      </c>
      <c r="R60" s="117"/>
      <c r="S60" s="117"/>
      <c r="T60" s="148"/>
      <c r="U60" s="335" t="s">
        <v>257</v>
      </c>
      <c r="V60" s="148"/>
    </row>
    <row r="61" spans="1:22" hidden="1" x14ac:dyDescent="0.25">
      <c r="A61" s="114"/>
      <c r="B61" s="282">
        <v>5020503000</v>
      </c>
      <c r="C61" s="283" t="s">
        <v>42</v>
      </c>
      <c r="D61" s="284">
        <f>IFERROR(VLOOKUP(B61,'WORKING PAPER FC1'!$I$19:$J$31,2,FALSE),0)</f>
        <v>0</v>
      </c>
      <c r="E61" s="283"/>
      <c r="F61" s="284">
        <f>IFERROR(VLOOKUP(B61,'WORKING PAPER FC1'!$I$11:$J$12,2,FALSE),0)</f>
        <v>0</v>
      </c>
      <c r="G61" s="117"/>
      <c r="H61" s="283" t="s">
        <v>42</v>
      </c>
      <c r="I61" s="117">
        <f t="shared" si="7"/>
        <v>0</v>
      </c>
      <c r="J61" s="117"/>
      <c r="K61" s="199">
        <f t="shared" si="13"/>
        <v>0</v>
      </c>
      <c r="L61" s="225">
        <v>2010101000</v>
      </c>
      <c r="M61" s="117" t="s">
        <v>25</v>
      </c>
      <c r="N61" s="117"/>
      <c r="O61" s="117">
        <f t="shared" si="11"/>
        <v>0</v>
      </c>
      <c r="P61" s="117"/>
      <c r="Q61" s="117">
        <f>O61</f>
        <v>0</v>
      </c>
      <c r="R61" s="117"/>
      <c r="S61" s="117"/>
      <c r="T61" s="148"/>
      <c r="U61" s="335"/>
      <c r="V61" s="148"/>
    </row>
    <row r="62" spans="1:22" ht="31.5" hidden="1" x14ac:dyDescent="0.25">
      <c r="A62" s="114"/>
      <c r="B62" s="282">
        <v>5029905003</v>
      </c>
      <c r="C62" s="283" t="s">
        <v>258</v>
      </c>
      <c r="D62" s="284">
        <f>IFERROR(VLOOKUP(B62,'WORKING PAPER FC1'!$I$19:$J$31,2,FALSE),0)</f>
        <v>0</v>
      </c>
      <c r="E62" s="283"/>
      <c r="F62" s="284">
        <f>IFERROR(VLOOKUP(B62,'WORKING PAPER FC1'!$I$11:$J$12,2,FALSE),0)</f>
        <v>0</v>
      </c>
      <c r="G62" s="117"/>
      <c r="H62" s="283" t="s">
        <v>258</v>
      </c>
      <c r="I62" s="117">
        <f t="shared" si="7"/>
        <v>0</v>
      </c>
      <c r="J62" s="117"/>
      <c r="K62" s="199">
        <f t="shared" si="13"/>
        <v>0</v>
      </c>
      <c r="L62" s="225">
        <v>2010101000</v>
      </c>
      <c r="M62" s="117" t="s">
        <v>25</v>
      </c>
      <c r="N62" s="117"/>
      <c r="O62" s="117">
        <f t="shared" si="11"/>
        <v>0</v>
      </c>
      <c r="P62" s="117"/>
      <c r="Q62" s="117">
        <f>O62</f>
        <v>0</v>
      </c>
      <c r="R62" s="117"/>
      <c r="S62" s="117"/>
      <c r="T62" s="148"/>
      <c r="U62" s="335"/>
      <c r="V62" s="148"/>
    </row>
    <row r="63" spans="1:22" ht="31.5" x14ac:dyDescent="0.25">
      <c r="A63" s="114"/>
      <c r="B63" s="282">
        <v>5020322001</v>
      </c>
      <c r="C63" s="283" t="s">
        <v>262</v>
      </c>
      <c r="D63" s="284">
        <f>IFERROR(VLOOKUP(B63,'WORKING PAPER FC1'!$I$19:$J$31,2,FALSE),0)</f>
        <v>0</v>
      </c>
      <c r="E63" s="283"/>
      <c r="F63" s="284">
        <f>IFERROR(VLOOKUP(B63,'WORKING PAPER FC1'!$I$11:$J$12,2,FALSE),0)</f>
        <v>0</v>
      </c>
      <c r="G63" s="117">
        <f>GETPIVOTDATA("-2,139,728.45 ",'WORKING PAPER FC1'!$I$82,"GENNY",1040601000)</f>
        <v>-832627</v>
      </c>
      <c r="H63" s="283" t="s">
        <v>262</v>
      </c>
      <c r="I63" s="117">
        <f t="shared" si="7"/>
        <v>832627</v>
      </c>
      <c r="J63" s="117"/>
      <c r="K63" s="199">
        <f t="shared" si="13"/>
        <v>-832627</v>
      </c>
      <c r="L63" s="225">
        <v>1040601000</v>
      </c>
      <c r="M63" s="117" t="s">
        <v>263</v>
      </c>
      <c r="N63" s="117"/>
      <c r="O63" s="117">
        <f t="shared" si="11"/>
        <v>832627</v>
      </c>
      <c r="P63" s="117">
        <f t="shared" ref="P63:P66" si="14">-O63</f>
        <v>-832627</v>
      </c>
      <c r="Q63" s="117"/>
      <c r="R63" s="117"/>
      <c r="S63" s="117"/>
      <c r="T63" s="148"/>
      <c r="U63" s="335"/>
      <c r="V63" s="148"/>
    </row>
    <row r="64" spans="1:22" ht="47.25" hidden="1" x14ac:dyDescent="0.25">
      <c r="A64" s="114"/>
      <c r="B64" s="282">
        <v>5020321099</v>
      </c>
      <c r="C64" s="283" t="s">
        <v>264</v>
      </c>
      <c r="D64" s="284"/>
      <c r="E64" s="283"/>
      <c r="F64" s="284"/>
      <c r="G64" s="117"/>
      <c r="H64" s="283" t="s">
        <v>264</v>
      </c>
      <c r="I64" s="117">
        <f t="shared" si="7"/>
        <v>0</v>
      </c>
      <c r="J64" s="117"/>
      <c r="K64" s="199">
        <f t="shared" si="13"/>
        <v>0</v>
      </c>
      <c r="L64" s="225">
        <v>2010101000</v>
      </c>
      <c r="M64" s="117" t="s">
        <v>25</v>
      </c>
      <c r="N64" s="117"/>
      <c r="O64" s="117">
        <f t="shared" si="11"/>
        <v>0</v>
      </c>
      <c r="P64" s="117">
        <f t="shared" si="14"/>
        <v>0</v>
      </c>
      <c r="Q64" s="117"/>
      <c r="R64" s="117"/>
      <c r="S64" s="117"/>
      <c r="T64" s="148"/>
      <c r="U64" s="335"/>
      <c r="V64" s="148"/>
    </row>
    <row r="65" spans="1:22" ht="31.5" x14ac:dyDescent="0.25">
      <c r="A65" s="114"/>
      <c r="B65" s="483">
        <v>5020308000</v>
      </c>
      <c r="C65" s="283" t="s">
        <v>260</v>
      </c>
      <c r="D65" s="284">
        <f>IFERROR(VLOOKUP(B65,'WORKING PAPER FC1'!$I$19:$J$31,2,FALSE),0)</f>
        <v>0</v>
      </c>
      <c r="E65" s="283"/>
      <c r="F65" s="284">
        <f>IFERROR(VLOOKUP(B65,'WORKING PAPER FC1'!$I$11:$J$12,2,FALSE),0)</f>
        <v>0</v>
      </c>
      <c r="G65" s="117">
        <f>GETPIVOTDATA("-2,580,493.27 ",'WORKING PAPER FC1'!$I$74,"KYRA",1040407000)</f>
        <v>-48185</v>
      </c>
      <c r="H65" s="283" t="s">
        <v>260</v>
      </c>
      <c r="I65" s="117">
        <f t="shared" si="7"/>
        <v>48185</v>
      </c>
      <c r="J65" s="117"/>
      <c r="K65" s="199">
        <f t="shared" si="13"/>
        <v>-48185</v>
      </c>
      <c r="L65" s="225">
        <v>1040407000</v>
      </c>
      <c r="M65" s="128" t="s">
        <v>261</v>
      </c>
      <c r="N65" s="117"/>
      <c r="O65" s="117">
        <f t="shared" si="11"/>
        <v>48185</v>
      </c>
      <c r="P65" s="117">
        <f t="shared" si="14"/>
        <v>-48185</v>
      </c>
      <c r="Q65" s="117"/>
      <c r="R65" s="117"/>
      <c r="S65" s="117"/>
      <c r="T65" s="148"/>
      <c r="U65" s="335"/>
      <c r="V65" s="148"/>
    </row>
    <row r="66" spans="1:22" ht="47.25" hidden="1" x14ac:dyDescent="0.25">
      <c r="A66" s="114"/>
      <c r="B66" s="282">
        <v>5020321007</v>
      </c>
      <c r="C66" s="283" t="s">
        <v>266</v>
      </c>
      <c r="D66" s="284">
        <f>IFERROR(VLOOKUP(B66,'WORKING PAPER FC1'!$I$19:$J$31,2,FALSE),0)</f>
        <v>0</v>
      </c>
      <c r="E66" s="283"/>
      <c r="F66" s="284">
        <f>IFERROR(VLOOKUP(B66,'WORKING PAPER FC1'!$I$11:$J$12,2,FALSE),0)</f>
        <v>0</v>
      </c>
      <c r="G66" s="117"/>
      <c r="H66" s="283" t="s">
        <v>266</v>
      </c>
      <c r="I66" s="117">
        <f t="shared" si="7"/>
        <v>0</v>
      </c>
      <c r="J66" s="117"/>
      <c r="K66" s="199">
        <f t="shared" si="13"/>
        <v>0</v>
      </c>
      <c r="L66" s="225">
        <v>1040507000</v>
      </c>
      <c r="M66" s="128" t="s">
        <v>267</v>
      </c>
      <c r="N66" s="117"/>
      <c r="O66" s="117">
        <f t="shared" si="11"/>
        <v>0</v>
      </c>
      <c r="P66" s="117">
        <f t="shared" si="14"/>
        <v>0</v>
      </c>
      <c r="Q66" s="117"/>
      <c r="R66" s="117"/>
      <c r="S66" s="117"/>
      <c r="T66" s="148"/>
      <c r="U66" s="335"/>
      <c r="V66" s="148"/>
    </row>
    <row r="67" spans="1:22" ht="31.5" hidden="1" x14ac:dyDescent="0.25">
      <c r="A67" s="114"/>
      <c r="B67" s="282">
        <v>5029905001</v>
      </c>
      <c r="C67" s="283" t="s">
        <v>268</v>
      </c>
      <c r="D67" s="284">
        <f>IFERROR(VLOOKUP(B67,'WORKING PAPER FC1'!$I$19:$J$31,2,FALSE),0)</f>
        <v>0</v>
      </c>
      <c r="E67" s="283"/>
      <c r="F67" s="284">
        <f>IFERROR(VLOOKUP(B67,'WORKING PAPER FC1'!$I$11:$J$12,2,FALSE),0)</f>
        <v>0</v>
      </c>
      <c r="G67" s="117"/>
      <c r="H67" s="283" t="s">
        <v>268</v>
      </c>
      <c r="I67" s="117">
        <f t="shared" si="7"/>
        <v>0</v>
      </c>
      <c r="J67" s="117"/>
      <c r="K67" s="199">
        <f t="shared" si="13"/>
        <v>0</v>
      </c>
      <c r="L67" s="225">
        <v>2010101000</v>
      </c>
      <c r="M67" s="117" t="s">
        <v>25</v>
      </c>
      <c r="N67" s="117"/>
      <c r="O67" s="117">
        <f t="shared" si="11"/>
        <v>0</v>
      </c>
      <c r="P67" s="117"/>
      <c r="Q67" s="117">
        <f>O67-N67</f>
        <v>0</v>
      </c>
      <c r="R67" s="117"/>
      <c r="S67" s="117"/>
      <c r="T67" s="148"/>
      <c r="U67" s="335"/>
      <c r="V67" s="148"/>
    </row>
    <row r="68" spans="1:22" ht="31.5" hidden="1" x14ac:dyDescent="0.25">
      <c r="A68" s="114"/>
      <c r="B68" s="282">
        <v>5029902000</v>
      </c>
      <c r="C68" s="283" t="s">
        <v>62</v>
      </c>
      <c r="D68" s="284">
        <f>IFERROR(VLOOKUP(B68,'WORKING PAPER FC1'!$I$19:$J$31,2,FALSE),0)</f>
        <v>0</v>
      </c>
      <c r="E68" s="283"/>
      <c r="F68" s="284">
        <f>IFERROR(VLOOKUP(B68,'WORKING PAPER FC1'!$I$11:$J$12,2,FALSE),0)</f>
        <v>0</v>
      </c>
      <c r="G68" s="117"/>
      <c r="H68" s="283" t="s">
        <v>62</v>
      </c>
      <c r="I68" s="117">
        <f t="shared" si="7"/>
        <v>0</v>
      </c>
      <c r="J68" s="117"/>
      <c r="K68" s="199">
        <f t="shared" si="13"/>
        <v>0</v>
      </c>
      <c r="L68" s="225">
        <v>2010101000</v>
      </c>
      <c r="M68" s="117" t="s">
        <v>25</v>
      </c>
      <c r="N68" s="117"/>
      <c r="O68" s="117">
        <f t="shared" si="11"/>
        <v>0</v>
      </c>
      <c r="P68" s="117"/>
      <c r="Q68" s="117">
        <f>O68-N68</f>
        <v>0</v>
      </c>
      <c r="R68" s="117"/>
      <c r="S68" s="117"/>
      <c r="T68" s="148"/>
      <c r="U68" s="335"/>
      <c r="V68" s="148"/>
    </row>
    <row r="69" spans="1:22" ht="47.25" hidden="1" x14ac:dyDescent="0.25">
      <c r="A69" s="114"/>
      <c r="B69" s="282">
        <v>5020321001</v>
      </c>
      <c r="C69" s="283" t="s">
        <v>269</v>
      </c>
      <c r="D69" s="284">
        <f>IFERROR(VLOOKUP(B69,'WORKING PAPER FC1'!$I$19:$J$31,2,FALSE),0)</f>
        <v>0</v>
      </c>
      <c r="E69" s="283"/>
      <c r="F69" s="284">
        <f>IFERROR(VLOOKUP(B69,'WORKING PAPER FC1'!$I$11:$J$12,2,FALSE),0)</f>
        <v>0</v>
      </c>
      <c r="G69" s="117"/>
      <c r="H69" s="283" t="s">
        <v>269</v>
      </c>
      <c r="I69" s="117">
        <f t="shared" si="7"/>
        <v>0</v>
      </c>
      <c r="J69" s="117"/>
      <c r="K69" s="199">
        <f t="shared" si="13"/>
        <v>0</v>
      </c>
      <c r="L69" s="225">
        <v>1040501000</v>
      </c>
      <c r="M69" s="117" t="s">
        <v>270</v>
      </c>
      <c r="N69" s="117"/>
      <c r="O69" s="117">
        <f t="shared" si="11"/>
        <v>0</v>
      </c>
      <c r="P69" s="117">
        <f>-O69</f>
        <v>0</v>
      </c>
      <c r="Q69" s="117"/>
      <c r="R69" s="117"/>
      <c r="S69" s="117"/>
      <c r="T69" s="148"/>
      <c r="U69" s="335"/>
      <c r="V69" s="148"/>
    </row>
    <row r="70" spans="1:22" ht="47.25" x14ac:dyDescent="0.25">
      <c r="A70" s="114"/>
      <c r="B70" s="282">
        <v>5020321010</v>
      </c>
      <c r="C70" s="283" t="s">
        <v>271</v>
      </c>
      <c r="D70" s="284">
        <f>IFERROR(VLOOKUP(B70,'WORKING PAPER FC1'!$I$19:$J$31,2,FALSE),0)</f>
        <v>0</v>
      </c>
      <c r="E70" s="283"/>
      <c r="F70" s="284">
        <f>IFERROR(VLOOKUP(B70,'WORKING PAPER FC1'!$I$11:$J$12,2,FALSE),0)</f>
        <v>0</v>
      </c>
      <c r="G70" s="117">
        <f>GETPIVOTDATA("-2,139,728.45 ",'WORKING PAPER FC1'!$I$82,"GENNY",1040510000)</f>
        <v>-62406</v>
      </c>
      <c r="H70" s="283" t="s">
        <v>269</v>
      </c>
      <c r="I70" s="117">
        <f t="shared" si="7"/>
        <v>62406</v>
      </c>
      <c r="J70" s="117"/>
      <c r="K70" s="199">
        <f t="shared" si="13"/>
        <v>-62406</v>
      </c>
      <c r="L70" s="225">
        <v>1040510000</v>
      </c>
      <c r="M70" s="117" t="s">
        <v>272</v>
      </c>
      <c r="N70" s="117"/>
      <c r="O70" s="117">
        <f t="shared" si="11"/>
        <v>62406</v>
      </c>
      <c r="P70" s="117">
        <f>-O70</f>
        <v>-62406</v>
      </c>
      <c r="Q70" s="117"/>
      <c r="R70" s="117"/>
      <c r="S70" s="117"/>
      <c r="T70" s="148"/>
      <c r="U70" s="335"/>
      <c r="V70" s="148"/>
    </row>
    <row r="71" spans="1:22" ht="47.25" hidden="1" x14ac:dyDescent="0.25">
      <c r="A71" s="114"/>
      <c r="B71" s="282">
        <v>5020321010</v>
      </c>
      <c r="C71" s="283" t="s">
        <v>271</v>
      </c>
      <c r="D71" s="284"/>
      <c r="E71" s="283"/>
      <c r="F71" s="284"/>
      <c r="G71" s="117"/>
      <c r="H71" s="283" t="s">
        <v>269</v>
      </c>
      <c r="I71" s="117">
        <f t="shared" si="7"/>
        <v>0</v>
      </c>
      <c r="J71" s="117"/>
      <c r="K71" s="199">
        <f t="shared" si="13"/>
        <v>0</v>
      </c>
      <c r="L71" s="225">
        <v>2010101000</v>
      </c>
      <c r="M71" s="117" t="s">
        <v>25</v>
      </c>
      <c r="N71" s="117"/>
      <c r="O71" s="117">
        <f t="shared" si="11"/>
        <v>0</v>
      </c>
      <c r="P71" s="117">
        <f>-O71</f>
        <v>0</v>
      </c>
      <c r="Q71" s="117"/>
      <c r="R71" s="117"/>
      <c r="S71" s="117"/>
      <c r="T71" s="148"/>
      <c r="U71" s="335"/>
      <c r="V71" s="148"/>
    </row>
    <row r="72" spans="1:22" ht="31.5" hidden="1" x14ac:dyDescent="0.25">
      <c r="A72" s="114"/>
      <c r="B72" s="282">
        <v>5020321013</v>
      </c>
      <c r="C72" s="283" t="s">
        <v>307</v>
      </c>
      <c r="D72" s="284">
        <f>IFERROR(VLOOKUP(B72,'WORKING PAPER FC1'!$I$19:$J$31,2,FALSE),0)</f>
        <v>0</v>
      </c>
      <c r="E72" s="283"/>
      <c r="F72" s="284"/>
      <c r="G72" s="117"/>
      <c r="H72" s="283" t="s">
        <v>307</v>
      </c>
      <c r="I72" s="117">
        <f t="shared" si="7"/>
        <v>0</v>
      </c>
      <c r="J72" s="117"/>
      <c r="K72" s="199">
        <f t="shared" si="13"/>
        <v>0</v>
      </c>
      <c r="L72" s="225">
        <v>1040513000</v>
      </c>
      <c r="M72" s="117" t="s">
        <v>308</v>
      </c>
      <c r="N72" s="117"/>
      <c r="O72" s="117">
        <f t="shared" si="11"/>
        <v>0</v>
      </c>
      <c r="P72" s="117">
        <f>-O72</f>
        <v>0</v>
      </c>
      <c r="Q72" s="117"/>
      <c r="R72" s="117"/>
      <c r="S72" s="117"/>
      <c r="T72" s="148"/>
      <c r="U72" s="335"/>
      <c r="V72" s="148"/>
    </row>
    <row r="73" spans="1:22" ht="31.5" hidden="1" x14ac:dyDescent="0.25">
      <c r="A73" s="114"/>
      <c r="B73" s="282">
        <v>5050105003</v>
      </c>
      <c r="C73" s="283" t="s">
        <v>275</v>
      </c>
      <c r="D73" s="284">
        <f>IFERROR(VLOOKUP(B73,'WORKING PAPER FC1'!$I$19:$J$31,2,FALSE),0)</f>
        <v>0</v>
      </c>
      <c r="E73" s="283"/>
      <c r="F73" s="284">
        <f>IFERROR(VLOOKUP(B73,'WORKING PAPER FC1'!$I$11:$J$12,2,FALSE),0)</f>
        <v>0</v>
      </c>
      <c r="G73" s="117"/>
      <c r="H73" s="283" t="s">
        <v>275</v>
      </c>
      <c r="I73" s="117">
        <f t="shared" si="7"/>
        <v>0</v>
      </c>
      <c r="J73" s="117"/>
      <c r="K73" s="199">
        <f t="shared" si="13"/>
        <v>0</v>
      </c>
      <c r="L73" s="225">
        <v>1060503100</v>
      </c>
      <c r="M73" s="128" t="s">
        <v>276</v>
      </c>
      <c r="N73" s="117"/>
      <c r="O73" s="117">
        <f t="shared" si="11"/>
        <v>0</v>
      </c>
      <c r="P73" s="117">
        <f>-O73</f>
        <v>0</v>
      </c>
      <c r="Q73" s="117"/>
      <c r="R73" s="117"/>
      <c r="S73" s="117"/>
      <c r="T73" s="148"/>
      <c r="U73" s="335"/>
      <c r="V73" s="148"/>
    </row>
    <row r="74" spans="1:22" ht="31.5" x14ac:dyDescent="0.25">
      <c r="A74" s="114"/>
      <c r="B74" s="282">
        <v>5050104099</v>
      </c>
      <c r="C74" s="283" t="s">
        <v>422</v>
      </c>
      <c r="D74" s="284"/>
      <c r="E74" s="283"/>
      <c r="F74" s="284"/>
      <c r="G74" s="117">
        <f>'WORKING PAPER FC1'!L120</f>
        <v>-234887.5</v>
      </c>
      <c r="H74" s="283" t="s">
        <v>422</v>
      </c>
      <c r="I74" s="117">
        <f t="shared" si="7"/>
        <v>234887.5</v>
      </c>
      <c r="J74" s="117"/>
      <c r="K74" s="199">
        <f t="shared" si="13"/>
        <v>-234887.5</v>
      </c>
      <c r="L74" s="225">
        <v>1060499100</v>
      </c>
      <c r="M74" s="128" t="s">
        <v>423</v>
      </c>
      <c r="N74" s="117"/>
      <c r="O74" s="117">
        <f>I74</f>
        <v>234887.5</v>
      </c>
      <c r="P74" s="117">
        <f>O74*-1</f>
        <v>-234887.5</v>
      </c>
      <c r="Q74" s="117"/>
      <c r="R74" s="117"/>
      <c r="S74" s="117"/>
      <c r="T74" s="148"/>
      <c r="U74" s="335"/>
      <c r="V74" s="148"/>
    </row>
    <row r="75" spans="1:22" ht="31.5" hidden="1" x14ac:dyDescent="0.25">
      <c r="A75" s="114"/>
      <c r="B75" s="282">
        <v>5029904000</v>
      </c>
      <c r="C75" s="283" t="s">
        <v>290</v>
      </c>
      <c r="D75" s="284">
        <f>IFERROR(VLOOKUP(B75,'WORKING PAPER FC1'!$I$19:$J$31,2,FALSE),0)</f>
        <v>0</v>
      </c>
      <c r="E75" s="283"/>
      <c r="F75" s="284">
        <f>IFERROR(VLOOKUP(B75,'WORKING PAPER FC1'!$I$11:$J$12,2,FALSE),0)</f>
        <v>0</v>
      </c>
      <c r="G75" s="117"/>
      <c r="H75" s="283" t="s">
        <v>290</v>
      </c>
      <c r="I75" s="117">
        <f t="shared" si="7"/>
        <v>0</v>
      </c>
      <c r="J75" s="117"/>
      <c r="K75" s="199">
        <f t="shared" si="13"/>
        <v>0</v>
      </c>
      <c r="L75" s="225">
        <v>2010101000</v>
      </c>
      <c r="M75" s="117" t="s">
        <v>25</v>
      </c>
      <c r="N75" s="117"/>
      <c r="O75" s="117">
        <f t="shared" si="11"/>
        <v>0</v>
      </c>
      <c r="P75" s="117"/>
      <c r="Q75" s="117">
        <f>O75</f>
        <v>0</v>
      </c>
      <c r="R75" s="117"/>
      <c r="S75" s="117"/>
      <c r="T75" s="148"/>
      <c r="U75" s="335"/>
      <c r="V75" s="148"/>
    </row>
    <row r="76" spans="1:22" ht="31.5" hidden="1" x14ac:dyDescent="0.25">
      <c r="A76" s="114"/>
      <c r="B76" s="282">
        <v>1060503000</v>
      </c>
      <c r="C76" s="283" t="s">
        <v>333</v>
      </c>
      <c r="D76" s="284"/>
      <c r="E76" s="283"/>
      <c r="F76" s="284"/>
      <c r="G76" s="117"/>
      <c r="H76" s="283" t="s">
        <v>333</v>
      </c>
      <c r="I76" s="117">
        <f>G76</f>
        <v>0</v>
      </c>
      <c r="J76" s="117"/>
      <c r="K76" s="199">
        <f>I76</f>
        <v>0</v>
      </c>
      <c r="L76" s="225">
        <v>4030106000</v>
      </c>
      <c r="M76" s="128" t="s">
        <v>336</v>
      </c>
      <c r="N76" s="117"/>
      <c r="O76" s="117">
        <f>G76</f>
        <v>0</v>
      </c>
      <c r="P76" s="117">
        <f>O76</f>
        <v>0</v>
      </c>
      <c r="Q76" s="117"/>
      <c r="R76" s="117"/>
      <c r="S76" s="117"/>
      <c r="T76" s="148"/>
      <c r="U76" s="335"/>
      <c r="V76" s="148"/>
    </row>
    <row r="77" spans="1:22" hidden="1" x14ac:dyDescent="0.25">
      <c r="A77" s="114"/>
      <c r="B77" s="282">
        <v>1060601000</v>
      </c>
      <c r="C77" s="283" t="s">
        <v>106</v>
      </c>
      <c r="D77" s="284"/>
      <c r="E77" s="283"/>
      <c r="F77" s="284"/>
      <c r="G77" s="117"/>
      <c r="H77" s="283" t="s">
        <v>106</v>
      </c>
      <c r="I77" s="117">
        <f>G77</f>
        <v>0</v>
      </c>
      <c r="J77" s="117"/>
      <c r="K77" s="199">
        <f>I77</f>
        <v>0</v>
      </c>
      <c r="L77" s="225">
        <v>4040202000</v>
      </c>
      <c r="M77" s="128" t="s">
        <v>334</v>
      </c>
      <c r="N77" s="117"/>
      <c r="O77" s="117">
        <f>G77</f>
        <v>0</v>
      </c>
      <c r="P77" s="117">
        <f>O77</f>
        <v>0</v>
      </c>
      <c r="Q77" s="117"/>
      <c r="R77" s="117"/>
      <c r="S77" s="117"/>
      <c r="T77" s="148"/>
      <c r="U77" s="335"/>
      <c r="V77" s="148"/>
    </row>
    <row r="78" spans="1:22" hidden="1" x14ac:dyDescent="0.25">
      <c r="A78" s="114"/>
      <c r="B78" s="282">
        <v>1060499000</v>
      </c>
      <c r="C78" s="283" t="s">
        <v>335</v>
      </c>
      <c r="D78" s="284"/>
      <c r="E78" s="283"/>
      <c r="F78" s="284"/>
      <c r="G78" s="117"/>
      <c r="H78" s="283"/>
      <c r="I78" s="117"/>
      <c r="J78" s="117"/>
      <c r="K78" s="199"/>
      <c r="L78" s="225">
        <v>1060499000</v>
      </c>
      <c r="M78" s="128" t="s">
        <v>335</v>
      </c>
      <c r="N78" s="117"/>
      <c r="O78" s="117">
        <f>G78</f>
        <v>0</v>
      </c>
      <c r="P78" s="117">
        <f>O78</f>
        <v>0</v>
      </c>
      <c r="Q78" s="117"/>
      <c r="R78" s="117"/>
      <c r="S78" s="117">
        <f>+P78</f>
        <v>0</v>
      </c>
      <c r="T78" s="148"/>
      <c r="U78" s="335"/>
      <c r="V78" s="148"/>
    </row>
    <row r="79" spans="1:22" s="334" customFormat="1" ht="31.5" x14ac:dyDescent="0.25">
      <c r="A79" s="294"/>
      <c r="B79" s="280"/>
      <c r="C79" s="281" t="s">
        <v>71</v>
      </c>
      <c r="D79" s="281"/>
      <c r="E79" s="281"/>
      <c r="F79" s="284">
        <f>IFERROR(VLOOKUP(B79,'WORKING PAPER FC1'!$I$11:$J$12,2,FALSE),0)</f>
        <v>0</v>
      </c>
      <c r="G79" s="123"/>
      <c r="H79" s="124"/>
      <c r="I79" s="123"/>
      <c r="J79" s="123"/>
      <c r="K79" s="201"/>
      <c r="L79" s="224"/>
      <c r="M79" s="123"/>
      <c r="N79" s="123"/>
      <c r="O79" s="123"/>
      <c r="P79" s="123"/>
      <c r="Q79" s="117"/>
      <c r="R79" s="123"/>
      <c r="S79" s="123"/>
      <c r="T79" s="333"/>
      <c r="U79" s="333"/>
      <c r="V79" s="333"/>
    </row>
    <row r="80" spans="1:22" x14ac:dyDescent="0.25">
      <c r="A80" s="114"/>
      <c r="B80" s="282">
        <v>1060502000</v>
      </c>
      <c r="C80" s="283" t="s">
        <v>346</v>
      </c>
      <c r="D80" s="283"/>
      <c r="E80" s="283"/>
      <c r="F80" s="284"/>
      <c r="G80" s="117">
        <v>490000</v>
      </c>
      <c r="H80" s="131"/>
      <c r="I80" s="117"/>
      <c r="J80" s="117"/>
      <c r="K80" s="199">
        <f t="shared" ref="K80:K87" si="15">J80</f>
        <v>0</v>
      </c>
      <c r="L80" s="225">
        <v>1060502000</v>
      </c>
      <c r="M80" s="117" t="s">
        <v>346</v>
      </c>
      <c r="N80" s="117">
        <v>490000</v>
      </c>
      <c r="O80" s="117"/>
      <c r="P80" s="117">
        <v>490000</v>
      </c>
      <c r="Q80" s="117"/>
      <c r="R80" s="117"/>
      <c r="S80" s="117">
        <v>490000</v>
      </c>
      <c r="T80" s="148"/>
      <c r="U80" s="148"/>
      <c r="V80" s="148"/>
    </row>
    <row r="81" spans="1:22" ht="31.5" x14ac:dyDescent="0.25">
      <c r="A81" s="114"/>
      <c r="B81" s="282">
        <v>5020322001</v>
      </c>
      <c r="C81" s="131" t="s">
        <v>262</v>
      </c>
      <c r="D81" s="283"/>
      <c r="E81" s="283"/>
      <c r="F81" s="284"/>
      <c r="G81" s="117">
        <v>13200</v>
      </c>
      <c r="H81" s="131" t="s">
        <v>262</v>
      </c>
      <c r="I81" s="117"/>
      <c r="J81" s="117">
        <f t="shared" ref="J81:J87" si="16">G81</f>
        <v>13200</v>
      </c>
      <c r="K81" s="199">
        <f t="shared" si="15"/>
        <v>13200</v>
      </c>
      <c r="L81" s="225">
        <v>2010101000</v>
      </c>
      <c r="M81" s="117" t="s">
        <v>25</v>
      </c>
      <c r="N81" s="117">
        <f t="shared" ref="N81:N87" si="17">J81</f>
        <v>13200</v>
      </c>
      <c r="O81" s="117"/>
      <c r="P81" s="117"/>
      <c r="Q81" s="117">
        <f>N81*-1</f>
        <v>-13200</v>
      </c>
      <c r="R81" s="117"/>
      <c r="S81" s="117"/>
      <c r="T81" s="148"/>
      <c r="U81" s="148"/>
      <c r="V81" s="148"/>
    </row>
    <row r="82" spans="1:22" ht="47.25" x14ac:dyDescent="0.25">
      <c r="A82" s="114"/>
      <c r="B82" s="282">
        <v>5020321099</v>
      </c>
      <c r="C82" s="283" t="s">
        <v>264</v>
      </c>
      <c r="D82" s="283">
        <v>0</v>
      </c>
      <c r="E82" s="283"/>
      <c r="F82" s="284">
        <v>0</v>
      </c>
      <c r="G82" s="117">
        <v>240785</v>
      </c>
      <c r="H82" s="283" t="s">
        <v>264</v>
      </c>
      <c r="I82" s="117"/>
      <c r="J82" s="117">
        <f t="shared" si="16"/>
        <v>240785</v>
      </c>
      <c r="K82" s="199">
        <f t="shared" si="15"/>
        <v>240785</v>
      </c>
      <c r="L82" s="225">
        <v>1040599000</v>
      </c>
      <c r="M82" s="128" t="s">
        <v>265</v>
      </c>
      <c r="N82" s="117">
        <f t="shared" si="17"/>
        <v>240785</v>
      </c>
      <c r="O82" s="117"/>
      <c r="P82" s="117">
        <f>N82</f>
        <v>240785</v>
      </c>
      <c r="Q82" s="117"/>
      <c r="R82" s="117"/>
      <c r="S82" s="117"/>
      <c r="T82" s="148"/>
      <c r="U82" s="148"/>
      <c r="V82" s="148"/>
    </row>
    <row r="83" spans="1:22" ht="47.25" x14ac:dyDescent="0.25">
      <c r="A83" s="114"/>
      <c r="B83" s="282">
        <v>5020308000</v>
      </c>
      <c r="C83" s="283" t="s">
        <v>260</v>
      </c>
      <c r="D83" s="283">
        <v>0</v>
      </c>
      <c r="E83" s="283"/>
      <c r="F83" s="284">
        <v>0</v>
      </c>
      <c r="G83" s="117">
        <v>433124.75</v>
      </c>
      <c r="H83" s="283" t="s">
        <v>49</v>
      </c>
      <c r="I83" s="117"/>
      <c r="J83" s="117">
        <f t="shared" si="16"/>
        <v>433124.75</v>
      </c>
      <c r="K83" s="199">
        <f t="shared" si="15"/>
        <v>433124.75</v>
      </c>
      <c r="L83" s="225">
        <v>2010101000</v>
      </c>
      <c r="M83" s="117" t="s">
        <v>25</v>
      </c>
      <c r="N83" s="117">
        <f t="shared" si="17"/>
        <v>433124.75</v>
      </c>
      <c r="O83" s="117"/>
      <c r="P83" s="117"/>
      <c r="Q83" s="117">
        <f>N83*-1</f>
        <v>-433124.75</v>
      </c>
      <c r="R83" s="117"/>
      <c r="S83" s="117"/>
      <c r="T83" s="148"/>
      <c r="U83" s="148"/>
      <c r="V83" s="148"/>
    </row>
    <row r="84" spans="1:22" x14ac:dyDescent="0.25">
      <c r="A84" s="114"/>
      <c r="B84" s="282">
        <v>5020305000</v>
      </c>
      <c r="C84" s="283" t="s">
        <v>31</v>
      </c>
      <c r="D84" s="283"/>
      <c r="E84" s="283"/>
      <c r="F84" s="284"/>
      <c r="G84" s="117">
        <v>1698217.3299999998</v>
      </c>
      <c r="H84" s="283" t="s">
        <v>31</v>
      </c>
      <c r="I84" s="117"/>
      <c r="J84" s="117">
        <f t="shared" si="16"/>
        <v>1698217.3299999998</v>
      </c>
      <c r="K84" s="199">
        <f t="shared" si="15"/>
        <v>1698217.3299999998</v>
      </c>
      <c r="L84" s="225">
        <v>2010101000</v>
      </c>
      <c r="M84" s="117" t="s">
        <v>25</v>
      </c>
      <c r="N84" s="117">
        <f t="shared" si="17"/>
        <v>1698217.3299999998</v>
      </c>
      <c r="O84" s="117"/>
      <c r="P84" s="117"/>
      <c r="Q84" s="117">
        <f>N84*-1</f>
        <v>-1698217.3299999998</v>
      </c>
      <c r="R84" s="117"/>
      <c r="S84" s="117"/>
      <c r="T84" s="148"/>
      <c r="U84" s="148"/>
      <c r="V84" s="148"/>
    </row>
    <row r="85" spans="1:22" ht="31.5" x14ac:dyDescent="0.25">
      <c r="A85" s="114"/>
      <c r="B85" s="282">
        <v>5020307000</v>
      </c>
      <c r="C85" s="283" t="s">
        <v>44</v>
      </c>
      <c r="D85" s="283"/>
      <c r="E85" s="283"/>
      <c r="F85" s="284"/>
      <c r="G85" s="117">
        <v>191795.36000000002</v>
      </c>
      <c r="H85" s="283" t="s">
        <v>44</v>
      </c>
      <c r="I85" s="117"/>
      <c r="J85" s="117">
        <f t="shared" si="16"/>
        <v>191795.36000000002</v>
      </c>
      <c r="K85" s="199">
        <f t="shared" si="15"/>
        <v>191795.36000000002</v>
      </c>
      <c r="L85" s="225">
        <v>2010101000</v>
      </c>
      <c r="M85" s="117" t="s">
        <v>25</v>
      </c>
      <c r="N85" s="117">
        <f t="shared" si="17"/>
        <v>191795.36000000002</v>
      </c>
      <c r="O85" s="117"/>
      <c r="P85" s="117"/>
      <c r="Q85" s="117">
        <f>N85*-1</f>
        <v>-191795.36000000002</v>
      </c>
      <c r="R85" s="117"/>
      <c r="S85" s="117"/>
      <c r="T85" s="148"/>
      <c r="U85" s="148"/>
      <c r="V85" s="148"/>
    </row>
    <row r="86" spans="1:22" ht="31.5" x14ac:dyDescent="0.25">
      <c r="A86" s="114"/>
      <c r="B86" s="282">
        <v>5020399000</v>
      </c>
      <c r="C86" s="283" t="s">
        <v>33</v>
      </c>
      <c r="D86" s="283"/>
      <c r="E86" s="283"/>
      <c r="F86" s="284">
        <v>0</v>
      </c>
      <c r="G86" s="117">
        <v>8193363.879999999</v>
      </c>
      <c r="H86" s="283" t="s">
        <v>33</v>
      </c>
      <c r="I86" s="117"/>
      <c r="J86" s="117">
        <f t="shared" si="16"/>
        <v>8193363.879999999</v>
      </c>
      <c r="K86" s="199">
        <f t="shared" si="15"/>
        <v>8193363.879999999</v>
      </c>
      <c r="L86" s="225">
        <v>2010101000</v>
      </c>
      <c r="M86" s="117" t="s">
        <v>25</v>
      </c>
      <c r="N86" s="117">
        <f t="shared" si="17"/>
        <v>8193363.879999999</v>
      </c>
      <c r="O86" s="117"/>
      <c r="P86" s="117"/>
      <c r="Q86" s="117">
        <f>N86*-1</f>
        <v>-8193363.879999999</v>
      </c>
      <c r="R86" s="117"/>
      <c r="S86" s="117"/>
      <c r="T86" s="148"/>
      <c r="U86" s="148"/>
      <c r="V86" s="148"/>
    </row>
    <row r="87" spans="1:22" x14ac:dyDescent="0.25">
      <c r="A87" s="114"/>
      <c r="B87" s="282">
        <v>5021601000</v>
      </c>
      <c r="C87" s="283" t="s">
        <v>58</v>
      </c>
      <c r="D87" s="283"/>
      <c r="E87" s="283"/>
      <c r="F87" s="284"/>
      <c r="G87" s="117">
        <v>9774.39</v>
      </c>
      <c r="H87" s="283" t="s">
        <v>58</v>
      </c>
      <c r="I87" s="117"/>
      <c r="J87" s="117">
        <f t="shared" si="16"/>
        <v>9774.39</v>
      </c>
      <c r="K87" s="199">
        <f t="shared" si="15"/>
        <v>9774.39</v>
      </c>
      <c r="L87" s="225">
        <v>2010101000</v>
      </c>
      <c r="M87" s="117" t="s">
        <v>25</v>
      </c>
      <c r="N87" s="117">
        <f t="shared" si="17"/>
        <v>9774.39</v>
      </c>
      <c r="O87" s="117"/>
      <c r="P87" s="117"/>
      <c r="Q87" s="117">
        <f>N87*-1</f>
        <v>-9774.39</v>
      </c>
      <c r="R87" s="117"/>
      <c r="S87" s="117"/>
      <c r="T87" s="148"/>
      <c r="U87" s="148"/>
      <c r="V87" s="148"/>
    </row>
    <row r="88" spans="1:22" s="334" customFormat="1" ht="31.5" x14ac:dyDescent="0.25">
      <c r="A88" s="294"/>
      <c r="B88" s="280"/>
      <c r="C88" s="281" t="s">
        <v>87</v>
      </c>
      <c r="D88" s="281"/>
      <c r="E88" s="281"/>
      <c r="F88" s="284"/>
      <c r="G88" s="123"/>
      <c r="H88" s="124"/>
      <c r="I88" s="123"/>
      <c r="J88" s="123"/>
      <c r="K88" s="201"/>
      <c r="L88" s="224"/>
      <c r="M88" s="124"/>
      <c r="N88" s="123"/>
      <c r="O88" s="123"/>
      <c r="P88" s="123"/>
      <c r="Q88" s="123"/>
      <c r="R88" s="123"/>
      <c r="S88" s="123"/>
      <c r="T88" s="333"/>
      <c r="U88" s="333"/>
      <c r="V88" s="333"/>
    </row>
    <row r="89" spans="1:22" x14ac:dyDescent="0.25">
      <c r="A89" s="114"/>
      <c r="B89" s="282">
        <v>5021499000</v>
      </c>
      <c r="C89" s="283" t="s">
        <v>88</v>
      </c>
      <c r="D89" s="283"/>
      <c r="E89" s="283"/>
      <c r="F89" s="284"/>
      <c r="G89" s="132">
        <f>-91983772.95+'WORKING PAPER FC1'!G4+'WORKING PAPER FC1'!L4</f>
        <v>-162004993.45000002</v>
      </c>
      <c r="H89" s="131" t="s">
        <v>34</v>
      </c>
      <c r="I89" s="117">
        <f>G89*-1</f>
        <v>162004993.45000002</v>
      </c>
      <c r="J89" s="117"/>
      <c r="K89" s="199">
        <f t="shared" ref="K89:K92" si="18">G89</f>
        <v>-162004993.45000002</v>
      </c>
      <c r="L89" s="484">
        <v>1030303000</v>
      </c>
      <c r="M89" s="128" t="s">
        <v>89</v>
      </c>
      <c r="N89" s="117"/>
      <c r="O89" s="117">
        <f t="shared" ref="O89:O94" si="19">I89</f>
        <v>162004993.45000002</v>
      </c>
      <c r="P89" s="117">
        <f>-O89+N89</f>
        <v>-162004993.45000002</v>
      </c>
      <c r="Q89" s="117"/>
      <c r="R89" s="117"/>
      <c r="S89" s="117"/>
      <c r="T89" s="148"/>
      <c r="U89" s="148"/>
      <c r="V89" s="148"/>
    </row>
    <row r="90" spans="1:22" x14ac:dyDescent="0.25">
      <c r="A90" s="114"/>
      <c r="B90" s="282">
        <v>5021499000</v>
      </c>
      <c r="C90" s="283" t="s">
        <v>90</v>
      </c>
      <c r="D90" s="283"/>
      <c r="E90" s="283"/>
      <c r="F90" s="284"/>
      <c r="G90" s="132">
        <f>'WORKING PAPER FC1'!O2</f>
        <v>-7385425.0099999998</v>
      </c>
      <c r="H90" s="131" t="s">
        <v>34</v>
      </c>
      <c r="I90" s="117">
        <f>G90*-1</f>
        <v>7385425.0099999998</v>
      </c>
      <c r="J90" s="117"/>
      <c r="K90" s="199">
        <f t="shared" si="18"/>
        <v>-7385425.0099999998</v>
      </c>
      <c r="L90" s="225">
        <v>1990103000</v>
      </c>
      <c r="M90" s="128" t="s">
        <v>91</v>
      </c>
      <c r="N90" s="117"/>
      <c r="O90" s="117">
        <f t="shared" si="19"/>
        <v>7385425.0099999998</v>
      </c>
      <c r="P90" s="117">
        <f>-O90</f>
        <v>-7385425.0099999998</v>
      </c>
      <c r="Q90" s="117"/>
      <c r="R90" s="117"/>
      <c r="S90" s="117"/>
      <c r="T90" s="148"/>
      <c r="U90" s="148"/>
      <c r="V90" s="148"/>
    </row>
    <row r="91" spans="1:22" x14ac:dyDescent="0.25">
      <c r="A91" s="114"/>
      <c r="B91" s="282">
        <v>5021499000</v>
      </c>
      <c r="C91" s="283" t="s">
        <v>92</v>
      </c>
      <c r="D91" s="283"/>
      <c r="E91" s="283"/>
      <c r="F91" s="284"/>
      <c r="G91" s="132">
        <v>-99646.95</v>
      </c>
      <c r="H91" s="131" t="s">
        <v>34</v>
      </c>
      <c r="I91" s="117">
        <f>G91*-1</f>
        <v>99646.95</v>
      </c>
      <c r="J91" s="117"/>
      <c r="K91" s="199">
        <f t="shared" si="18"/>
        <v>-99646.95</v>
      </c>
      <c r="L91" s="225">
        <v>1010102000</v>
      </c>
      <c r="M91" s="128" t="s">
        <v>93</v>
      </c>
      <c r="N91" s="117"/>
      <c r="O91" s="117">
        <f t="shared" si="19"/>
        <v>99646.95</v>
      </c>
      <c r="P91" s="117">
        <f>-O91</f>
        <v>-99646.95</v>
      </c>
      <c r="Q91" s="117"/>
      <c r="R91" s="117"/>
      <c r="S91" s="117"/>
      <c r="T91" s="148"/>
      <c r="U91" s="148"/>
      <c r="V91" s="148"/>
    </row>
    <row r="92" spans="1:22" ht="31.5" x14ac:dyDescent="0.25">
      <c r="A92" s="114"/>
      <c r="B92" s="282">
        <v>5029999099</v>
      </c>
      <c r="C92" s="283" t="s">
        <v>92</v>
      </c>
      <c r="D92" s="283"/>
      <c r="E92" s="283"/>
      <c r="F92" s="284"/>
      <c r="G92" s="132">
        <f>'WORKING PAPER FC1'!L98</f>
        <v>17959.490000000002</v>
      </c>
      <c r="H92" s="131" t="s">
        <v>411</v>
      </c>
      <c r="I92" s="117"/>
      <c r="J92" s="117">
        <f>G92</f>
        <v>17959.490000000002</v>
      </c>
      <c r="K92" s="199">
        <f t="shared" si="18"/>
        <v>17959.490000000002</v>
      </c>
      <c r="L92" s="225">
        <v>1010102000</v>
      </c>
      <c r="M92" s="128" t="s">
        <v>93</v>
      </c>
      <c r="N92" s="117">
        <f>G92</f>
        <v>17959.490000000002</v>
      </c>
      <c r="O92" s="117"/>
      <c r="P92" s="117">
        <f>N92</f>
        <v>17959.490000000002</v>
      </c>
      <c r="Q92" s="117"/>
      <c r="R92" s="117"/>
      <c r="S92" s="117"/>
      <c r="T92" s="148"/>
      <c r="U92" s="148"/>
      <c r="V92" s="148"/>
    </row>
    <row r="93" spans="1:22" hidden="1" x14ac:dyDescent="0.25">
      <c r="A93" s="114"/>
      <c r="B93" s="282">
        <v>5021601000</v>
      </c>
      <c r="C93" s="283" t="s">
        <v>94</v>
      </c>
      <c r="D93" s="283"/>
      <c r="E93" s="283"/>
      <c r="F93" s="284"/>
      <c r="G93" s="132"/>
      <c r="H93" s="131" t="s">
        <v>58</v>
      </c>
      <c r="I93" s="117"/>
      <c r="J93" s="117"/>
      <c r="K93" s="199">
        <f>-I93-J93</f>
        <v>0</v>
      </c>
      <c r="L93" s="225">
        <v>1990102000</v>
      </c>
      <c r="M93" s="128" t="s">
        <v>95</v>
      </c>
      <c r="N93" s="117">
        <f>J93</f>
        <v>0</v>
      </c>
      <c r="O93" s="117">
        <f t="shared" si="19"/>
        <v>0</v>
      </c>
      <c r="P93" s="117">
        <f>-(O93+N93)</f>
        <v>0</v>
      </c>
      <c r="Q93" s="117"/>
      <c r="R93" s="117"/>
      <c r="S93" s="117"/>
      <c r="T93" s="148"/>
      <c r="U93" s="148"/>
      <c r="V93" s="148"/>
    </row>
    <row r="94" spans="1:22" hidden="1" x14ac:dyDescent="0.25">
      <c r="A94" s="114"/>
      <c r="B94" s="282">
        <v>5021499000</v>
      </c>
      <c r="C94" s="283" t="s">
        <v>311</v>
      </c>
      <c r="D94" s="283"/>
      <c r="E94" s="283"/>
      <c r="F94" s="284"/>
      <c r="G94" s="132"/>
      <c r="H94" s="131" t="s">
        <v>34</v>
      </c>
      <c r="I94" s="117"/>
      <c r="J94" s="117"/>
      <c r="K94" s="199">
        <f>-I94-J94</f>
        <v>0</v>
      </c>
      <c r="L94" s="225">
        <v>1039999000</v>
      </c>
      <c r="M94" s="128" t="s">
        <v>214</v>
      </c>
      <c r="N94" s="117"/>
      <c r="O94" s="117">
        <f t="shared" si="19"/>
        <v>0</v>
      </c>
      <c r="P94" s="117">
        <f>-(O94+N94)</f>
        <v>0</v>
      </c>
      <c r="Q94" s="117"/>
      <c r="R94" s="117"/>
      <c r="S94" s="117"/>
      <c r="T94" s="148"/>
      <c r="U94" s="148"/>
      <c r="V94" s="148"/>
    </row>
    <row r="95" spans="1:22" hidden="1" x14ac:dyDescent="0.25">
      <c r="A95" s="114"/>
      <c r="B95" s="282">
        <v>5021499000</v>
      </c>
      <c r="C95" s="283" t="s">
        <v>310</v>
      </c>
      <c r="D95" s="283"/>
      <c r="E95" s="283"/>
      <c r="F95" s="284"/>
      <c r="G95" s="132"/>
      <c r="H95" s="131" t="s">
        <v>34</v>
      </c>
      <c r="I95" s="117"/>
      <c r="J95" s="117"/>
      <c r="K95" s="199">
        <f>-I95-J95</f>
        <v>0</v>
      </c>
      <c r="L95" s="225">
        <v>1030301000</v>
      </c>
      <c r="M95" s="128" t="s">
        <v>100</v>
      </c>
      <c r="N95" s="117"/>
      <c r="O95" s="117">
        <f>G95*-1</f>
        <v>0</v>
      </c>
      <c r="P95" s="117">
        <f>-(O95+N95)</f>
        <v>0</v>
      </c>
      <c r="Q95" s="117"/>
      <c r="R95" s="117"/>
      <c r="S95" s="117"/>
      <c r="T95" s="148"/>
      <c r="U95" s="148"/>
      <c r="V95" s="148"/>
    </row>
    <row r="96" spans="1:22" hidden="1" x14ac:dyDescent="0.25">
      <c r="A96" s="114"/>
      <c r="B96" s="282">
        <v>1030301000</v>
      </c>
      <c r="C96" s="283" t="s">
        <v>310</v>
      </c>
      <c r="D96" s="283"/>
      <c r="E96" s="283"/>
      <c r="F96" s="284"/>
      <c r="G96" s="132"/>
      <c r="H96" s="131"/>
      <c r="I96" s="117"/>
      <c r="J96" s="117"/>
      <c r="K96" s="199"/>
      <c r="L96" s="225">
        <v>2020105000</v>
      </c>
      <c r="M96" s="128" t="s">
        <v>318</v>
      </c>
      <c r="N96" s="117"/>
      <c r="O96" s="117"/>
      <c r="P96" s="117"/>
      <c r="Q96" s="117">
        <f>-N96</f>
        <v>0</v>
      </c>
      <c r="R96" s="117"/>
      <c r="S96" s="117"/>
      <c r="T96" s="148"/>
      <c r="U96" s="148"/>
      <c r="V96" s="148"/>
    </row>
    <row r="97" spans="1:22" hidden="1" x14ac:dyDescent="0.25">
      <c r="A97" s="114"/>
      <c r="B97" s="282"/>
      <c r="C97" s="281" t="s">
        <v>101</v>
      </c>
      <c r="D97" s="281"/>
      <c r="E97" s="281"/>
      <c r="F97" s="284"/>
      <c r="G97" s="132"/>
      <c r="H97" s="131"/>
      <c r="I97" s="117"/>
      <c r="J97" s="117"/>
      <c r="K97" s="199"/>
      <c r="L97" s="225"/>
      <c r="M97" s="128"/>
      <c r="N97" s="117"/>
      <c r="O97" s="117"/>
      <c r="P97" s="117"/>
      <c r="Q97" s="117"/>
      <c r="R97" s="117"/>
      <c r="S97" s="117"/>
      <c r="T97" s="148"/>
      <c r="U97" s="148"/>
      <c r="V97" s="148"/>
    </row>
    <row r="98" spans="1:22" hidden="1" x14ac:dyDescent="0.25">
      <c r="A98" s="114"/>
      <c r="B98" s="282">
        <v>5021199000</v>
      </c>
      <c r="C98" s="113" t="s">
        <v>244</v>
      </c>
      <c r="D98" s="113"/>
      <c r="E98" s="113"/>
      <c r="F98" s="284"/>
      <c r="G98" s="132"/>
      <c r="H98" s="113" t="s">
        <v>53</v>
      </c>
      <c r="I98" s="132"/>
      <c r="J98" s="117"/>
      <c r="K98" s="199">
        <f>G98</f>
        <v>0</v>
      </c>
      <c r="L98" s="225">
        <v>2010101000</v>
      </c>
      <c r="M98" s="128" t="s">
        <v>114</v>
      </c>
      <c r="N98" s="117">
        <f>J98</f>
        <v>0</v>
      </c>
      <c r="O98" s="117"/>
      <c r="P98" s="117">
        <f>-O98</f>
        <v>0</v>
      </c>
      <c r="Q98" s="117">
        <f>-N98</f>
        <v>0</v>
      </c>
      <c r="R98" s="117"/>
      <c r="S98" s="117"/>
      <c r="T98" s="148"/>
      <c r="U98" s="148"/>
      <c r="V98" s="148"/>
    </row>
    <row r="99" spans="1:22" ht="31.5" hidden="1" x14ac:dyDescent="0.25">
      <c r="A99" s="114"/>
      <c r="B99" s="282">
        <v>4030107000</v>
      </c>
      <c r="C99" s="113" t="s">
        <v>240</v>
      </c>
      <c r="D99" s="113"/>
      <c r="E99" s="113"/>
      <c r="F99" s="284"/>
      <c r="G99" s="132"/>
      <c r="H99" s="113" t="s">
        <v>240</v>
      </c>
      <c r="I99" s="117"/>
      <c r="J99" s="117"/>
      <c r="K99" s="199">
        <f>J99-I99</f>
        <v>0</v>
      </c>
      <c r="L99" s="225">
        <v>1040202000</v>
      </c>
      <c r="M99" s="128" t="s">
        <v>36</v>
      </c>
      <c r="N99" s="117">
        <f>J99</f>
        <v>0</v>
      </c>
      <c r="O99" s="117">
        <f>I99</f>
        <v>0</v>
      </c>
      <c r="P99" s="117">
        <f>-O99+N99</f>
        <v>0</v>
      </c>
      <c r="Q99" s="117"/>
      <c r="R99" s="117"/>
      <c r="S99" s="117"/>
      <c r="T99" s="148"/>
      <c r="U99" s="148"/>
      <c r="V99" s="148"/>
    </row>
    <row r="100" spans="1:22" hidden="1" x14ac:dyDescent="0.25">
      <c r="A100" s="114"/>
      <c r="B100" s="282"/>
      <c r="C100" s="113" t="s">
        <v>242</v>
      </c>
      <c r="D100" s="113"/>
      <c r="E100" s="113"/>
      <c r="F100" s="284"/>
      <c r="G100" s="132"/>
      <c r="H100" s="113"/>
      <c r="I100" s="132"/>
      <c r="J100" s="117"/>
      <c r="K100" s="199"/>
      <c r="L100" s="225">
        <v>1060601000</v>
      </c>
      <c r="M100" s="128" t="s">
        <v>106</v>
      </c>
      <c r="N100" s="117"/>
      <c r="O100" s="117"/>
      <c r="P100" s="117">
        <f t="shared" ref="P100:P104" si="20">N100</f>
        <v>0</v>
      </c>
      <c r="Q100" s="117"/>
      <c r="R100" s="117"/>
      <c r="S100" s="117"/>
      <c r="T100" s="148"/>
      <c r="U100" s="148"/>
      <c r="V100" s="148"/>
    </row>
    <row r="101" spans="1:22" hidden="1" x14ac:dyDescent="0.25">
      <c r="A101" s="114"/>
      <c r="B101" s="282"/>
      <c r="C101" s="113" t="s">
        <v>345</v>
      </c>
      <c r="D101" s="113"/>
      <c r="E101" s="113"/>
      <c r="F101" s="284"/>
      <c r="G101" s="132"/>
      <c r="H101" s="113" t="s">
        <v>69</v>
      </c>
      <c r="I101" s="117"/>
      <c r="J101" s="117"/>
      <c r="K101" s="199">
        <f>G101</f>
        <v>0</v>
      </c>
      <c r="L101" s="225"/>
      <c r="M101" s="113" t="s">
        <v>386</v>
      </c>
      <c r="N101" s="117"/>
      <c r="O101" s="117"/>
      <c r="P101" s="117"/>
      <c r="Q101" s="117"/>
      <c r="R101" s="117"/>
      <c r="S101" s="117"/>
      <c r="T101" s="148"/>
      <c r="U101" s="148"/>
      <c r="V101" s="148"/>
    </row>
    <row r="102" spans="1:22" hidden="1" x14ac:dyDescent="0.25">
      <c r="A102" s="114"/>
      <c r="B102" s="282"/>
      <c r="C102" s="113" t="s">
        <v>345</v>
      </c>
      <c r="D102" s="113"/>
      <c r="E102" s="113"/>
      <c r="F102" s="284"/>
      <c r="G102" s="132"/>
      <c r="H102" s="113" t="s">
        <v>385</v>
      </c>
      <c r="I102" s="117"/>
      <c r="J102" s="117"/>
      <c r="K102" s="199">
        <f>G102</f>
        <v>0</v>
      </c>
      <c r="L102" s="225"/>
      <c r="M102" s="113" t="s">
        <v>387</v>
      </c>
      <c r="N102" s="117"/>
      <c r="O102" s="117"/>
      <c r="P102" s="117">
        <f>G102</f>
        <v>0</v>
      </c>
      <c r="Q102" s="117"/>
      <c r="R102" s="117"/>
      <c r="S102" s="117"/>
      <c r="T102" s="148"/>
      <c r="U102" s="148"/>
      <c r="V102" s="148"/>
    </row>
    <row r="103" spans="1:22" hidden="1" x14ac:dyDescent="0.25">
      <c r="A103" s="114"/>
      <c r="B103" s="282"/>
      <c r="C103" s="113" t="s">
        <v>345</v>
      </c>
      <c r="D103" s="113"/>
      <c r="E103" s="113"/>
      <c r="F103" s="284"/>
      <c r="G103" s="132"/>
      <c r="H103" s="113"/>
      <c r="I103" s="132"/>
      <c r="J103" s="117"/>
      <c r="K103" s="199"/>
      <c r="L103" s="225"/>
      <c r="M103" s="128"/>
      <c r="N103" s="117"/>
      <c r="O103" s="117"/>
      <c r="P103" s="117"/>
      <c r="Q103" s="117"/>
      <c r="R103" s="117"/>
      <c r="S103" s="117"/>
      <c r="T103" s="148"/>
      <c r="U103" s="148"/>
      <c r="V103" s="148"/>
    </row>
    <row r="104" spans="1:22" hidden="1" x14ac:dyDescent="0.25">
      <c r="A104" s="114"/>
      <c r="B104" s="282">
        <v>5021499000</v>
      </c>
      <c r="C104" s="113" t="s">
        <v>245</v>
      </c>
      <c r="D104" s="113"/>
      <c r="E104" s="113"/>
      <c r="F104" s="284"/>
      <c r="G104" s="132"/>
      <c r="H104" s="113" t="s">
        <v>34</v>
      </c>
      <c r="I104" s="117"/>
      <c r="J104" s="117"/>
      <c r="K104" s="199">
        <f>G104</f>
        <v>0</v>
      </c>
      <c r="L104" s="225">
        <v>2010101000</v>
      </c>
      <c r="M104" s="128" t="s">
        <v>25</v>
      </c>
      <c r="N104" s="117"/>
      <c r="O104" s="117">
        <f>I104</f>
        <v>0</v>
      </c>
      <c r="P104" s="117">
        <f t="shared" si="20"/>
        <v>0</v>
      </c>
      <c r="Q104" s="117">
        <f>O104</f>
        <v>0</v>
      </c>
      <c r="R104" s="117"/>
      <c r="S104" s="117"/>
      <c r="T104" s="148"/>
      <c r="U104" s="148"/>
      <c r="V104" s="148"/>
    </row>
    <row r="105" spans="1:22" ht="47.25" hidden="1" x14ac:dyDescent="0.25">
      <c r="A105" s="114"/>
      <c r="B105" s="282">
        <v>2010101000</v>
      </c>
      <c r="C105" s="113" t="s">
        <v>331</v>
      </c>
      <c r="D105" s="113"/>
      <c r="E105" s="113"/>
      <c r="F105" s="284"/>
      <c r="G105" s="132"/>
      <c r="H105" s="113"/>
      <c r="I105" s="117"/>
      <c r="J105" s="117"/>
      <c r="K105" s="199"/>
      <c r="L105" s="225">
        <v>2010101000</v>
      </c>
      <c r="M105" s="128" t="s">
        <v>25</v>
      </c>
      <c r="N105" s="117">
        <f>G105</f>
        <v>0</v>
      </c>
      <c r="O105" s="117"/>
      <c r="P105" s="117"/>
      <c r="Q105" s="117">
        <f>N105*-1</f>
        <v>0</v>
      </c>
      <c r="R105" s="117"/>
      <c r="S105" s="117">
        <f>+N105</f>
        <v>0</v>
      </c>
      <c r="T105" s="148"/>
      <c r="U105" s="148"/>
      <c r="V105" s="148"/>
    </row>
    <row r="106" spans="1:22" ht="31.5" hidden="1" x14ac:dyDescent="0.25">
      <c r="A106" s="114"/>
      <c r="B106" s="282">
        <v>4069999000</v>
      </c>
      <c r="C106" s="113" t="s">
        <v>259</v>
      </c>
      <c r="D106" s="113"/>
      <c r="E106" s="113"/>
      <c r="F106" s="284">
        <f>IFERROR(VLOOKUP(B106,'WORKING PAPER FC1'!$I$11:$J$12,2,FALSE),0)</f>
        <v>0</v>
      </c>
      <c r="G106" s="132"/>
      <c r="H106" s="113"/>
      <c r="I106" s="117"/>
      <c r="J106" s="117"/>
      <c r="K106" s="199"/>
      <c r="L106" s="225">
        <v>1010202016</v>
      </c>
      <c r="M106" s="128" t="s">
        <v>219</v>
      </c>
      <c r="N106" s="117"/>
      <c r="O106" s="117">
        <f>G106*-1</f>
        <v>0</v>
      </c>
      <c r="P106" s="117">
        <f>-O106</f>
        <v>0</v>
      </c>
      <c r="Q106" s="117"/>
      <c r="R106" s="117"/>
      <c r="S106" s="117"/>
      <c r="T106" s="148"/>
      <c r="U106" s="148"/>
      <c r="V106" s="148"/>
    </row>
    <row r="107" spans="1:22" ht="31.5" hidden="1" x14ac:dyDescent="0.25">
      <c r="A107" s="114"/>
      <c r="B107" s="282">
        <v>2020102001</v>
      </c>
      <c r="C107" s="113" t="s">
        <v>279</v>
      </c>
      <c r="D107" s="113"/>
      <c r="E107" s="113"/>
      <c r="F107" s="284">
        <f>IFERROR(VLOOKUP(B107,'WORKING PAPER FC1'!$I$11:$J$12,2,FALSE),0)</f>
        <v>0</v>
      </c>
      <c r="G107" s="132"/>
      <c r="H107" s="113" t="s">
        <v>277</v>
      </c>
      <c r="I107" s="117">
        <f>G107</f>
        <v>0</v>
      </c>
      <c r="J107" s="117"/>
      <c r="K107" s="199">
        <f>-I107</f>
        <v>0</v>
      </c>
      <c r="L107" s="225">
        <v>5010102000</v>
      </c>
      <c r="M107" s="128" t="s">
        <v>278</v>
      </c>
      <c r="N107" s="117"/>
      <c r="O107" s="117">
        <f>G107</f>
        <v>0</v>
      </c>
      <c r="P107" s="117"/>
      <c r="Q107" s="117">
        <f>-O107</f>
        <v>0</v>
      </c>
      <c r="R107" s="117"/>
      <c r="S107" s="117"/>
      <c r="T107" s="148"/>
      <c r="U107" s="148"/>
      <c r="V107" s="148"/>
    </row>
    <row r="108" spans="1:22" ht="31.5" hidden="1" x14ac:dyDescent="0.25">
      <c r="A108" s="114"/>
      <c r="B108" s="282">
        <v>2020103002</v>
      </c>
      <c r="C108" s="113" t="s">
        <v>330</v>
      </c>
      <c r="D108" s="113"/>
      <c r="E108" s="113"/>
      <c r="F108" s="284"/>
      <c r="G108" s="132"/>
      <c r="H108" s="113"/>
      <c r="I108" s="117"/>
      <c r="J108" s="117"/>
      <c r="K108" s="199"/>
      <c r="L108" s="225">
        <v>2020103002</v>
      </c>
      <c r="M108" s="113" t="s">
        <v>281</v>
      </c>
      <c r="N108" s="117">
        <f>G108</f>
        <v>0</v>
      </c>
      <c r="O108" s="117"/>
      <c r="P108" s="117"/>
      <c r="Q108" s="117">
        <f>-N108</f>
        <v>0</v>
      </c>
      <c r="R108" s="117"/>
      <c r="S108" s="117"/>
      <c r="T108" s="148"/>
      <c r="U108" s="148"/>
      <c r="V108" s="148"/>
    </row>
    <row r="109" spans="1:22" ht="31.5" hidden="1" x14ac:dyDescent="0.25">
      <c r="A109" s="114"/>
      <c r="B109" s="282">
        <v>2020103002</v>
      </c>
      <c r="C109" s="113" t="s">
        <v>280</v>
      </c>
      <c r="D109" s="113"/>
      <c r="E109" s="113"/>
      <c r="F109" s="284">
        <f>IFERROR(VLOOKUP(B109,'WORKING PAPER FC1'!$I$11:$J$12,2,FALSE),0)</f>
        <v>0</v>
      </c>
      <c r="G109" s="132"/>
      <c r="H109" s="113" t="s">
        <v>281</v>
      </c>
      <c r="I109" s="117"/>
      <c r="J109" s="117"/>
      <c r="K109" s="199">
        <f>-G109</f>
        <v>0</v>
      </c>
      <c r="L109" s="225">
        <v>5010102000</v>
      </c>
      <c r="M109" s="128" t="s">
        <v>278</v>
      </c>
      <c r="N109" s="117"/>
      <c r="O109" s="117">
        <f>G109</f>
        <v>0</v>
      </c>
      <c r="P109" s="117"/>
      <c r="Q109" s="117">
        <f>-O109</f>
        <v>0</v>
      </c>
      <c r="R109" s="117"/>
      <c r="S109" s="117"/>
      <c r="T109" s="148"/>
      <c r="U109" s="148"/>
      <c r="V109" s="148"/>
    </row>
    <row r="110" spans="1:22" hidden="1" x14ac:dyDescent="0.25">
      <c r="A110" s="114"/>
      <c r="B110" s="282">
        <v>2020103001</v>
      </c>
      <c r="C110" s="113" t="s">
        <v>282</v>
      </c>
      <c r="D110" s="113"/>
      <c r="E110" s="113"/>
      <c r="F110" s="284">
        <f>IFERROR(VLOOKUP(B110,'WORKING PAPER FC1'!$I$11:$J$12,2,FALSE),0)</f>
        <v>0</v>
      </c>
      <c r="G110" s="132"/>
      <c r="H110" s="113" t="s">
        <v>283</v>
      </c>
      <c r="I110" s="117"/>
      <c r="J110" s="117"/>
      <c r="K110" s="199">
        <f>-G110</f>
        <v>0</v>
      </c>
      <c r="L110" s="225">
        <v>5010102000</v>
      </c>
      <c r="M110" s="128" t="s">
        <v>278</v>
      </c>
      <c r="N110" s="117"/>
      <c r="O110" s="117">
        <f>G110</f>
        <v>0</v>
      </c>
      <c r="P110" s="117"/>
      <c r="Q110" s="117">
        <f>-O110</f>
        <v>0</v>
      </c>
      <c r="R110" s="117"/>
      <c r="S110" s="117"/>
      <c r="T110" s="148"/>
      <c r="U110" s="148"/>
      <c r="V110" s="148"/>
    </row>
    <row r="111" spans="1:22" hidden="1" x14ac:dyDescent="0.25">
      <c r="A111" s="114"/>
      <c r="B111" s="282">
        <v>2020103001</v>
      </c>
      <c r="C111" s="113" t="s">
        <v>284</v>
      </c>
      <c r="D111" s="113"/>
      <c r="E111" s="113"/>
      <c r="F111" s="284">
        <f>IFERROR(VLOOKUP(B111,'WORKING PAPER FC1'!$I$11:$J$12,2,FALSE),0)</f>
        <v>0</v>
      </c>
      <c r="G111" s="132"/>
      <c r="H111" s="113" t="s">
        <v>283</v>
      </c>
      <c r="I111" s="117"/>
      <c r="J111" s="117"/>
      <c r="K111" s="199">
        <f>-G111</f>
        <v>0</v>
      </c>
      <c r="L111" s="225">
        <v>5010302001</v>
      </c>
      <c r="M111" s="128" t="s">
        <v>285</v>
      </c>
      <c r="N111" s="117"/>
      <c r="O111" s="117">
        <f>G111</f>
        <v>0</v>
      </c>
      <c r="P111" s="117"/>
      <c r="Q111" s="117">
        <f>-O111</f>
        <v>0</v>
      </c>
      <c r="R111" s="117"/>
      <c r="S111" s="117"/>
      <c r="T111" s="148"/>
      <c r="U111" s="148"/>
      <c r="V111" s="148"/>
    </row>
    <row r="112" spans="1:22" ht="31.5" hidden="1" x14ac:dyDescent="0.25">
      <c r="A112" s="114"/>
      <c r="B112" s="282">
        <v>2020104000</v>
      </c>
      <c r="C112" s="113" t="s">
        <v>286</v>
      </c>
      <c r="D112" s="113"/>
      <c r="E112" s="113"/>
      <c r="F112" s="284">
        <f>IFERROR(VLOOKUP(B112,'WORKING PAPER FC1'!$I$11:$J$12,2,FALSE),0)</f>
        <v>0</v>
      </c>
      <c r="G112" s="132"/>
      <c r="H112" s="113" t="s">
        <v>287</v>
      </c>
      <c r="I112" s="117"/>
      <c r="J112" s="117"/>
      <c r="K112" s="199">
        <f>-G112</f>
        <v>0</v>
      </c>
      <c r="L112" s="225">
        <v>5010102000</v>
      </c>
      <c r="M112" s="128" t="s">
        <v>278</v>
      </c>
      <c r="N112" s="117"/>
      <c r="O112" s="117">
        <f>G112</f>
        <v>0</v>
      </c>
      <c r="P112" s="117"/>
      <c r="Q112" s="117">
        <f>-O112</f>
        <v>0</v>
      </c>
      <c r="R112" s="117"/>
      <c r="S112" s="117"/>
      <c r="T112" s="148"/>
      <c r="U112" s="148"/>
      <c r="V112" s="148"/>
    </row>
    <row r="113" spans="1:24" ht="31.5" hidden="1" x14ac:dyDescent="0.25">
      <c r="A113" s="114"/>
      <c r="B113" s="282">
        <v>5030104000</v>
      </c>
      <c r="C113" s="113" t="s">
        <v>312</v>
      </c>
      <c r="D113" s="113"/>
      <c r="E113" s="113"/>
      <c r="F113" s="284"/>
      <c r="G113" s="132"/>
      <c r="H113" s="113"/>
      <c r="I113" s="117"/>
      <c r="J113" s="117"/>
      <c r="K113" s="199"/>
      <c r="L113" s="225">
        <v>1010202024</v>
      </c>
      <c r="M113" s="128" t="s">
        <v>313</v>
      </c>
      <c r="N113" s="117"/>
      <c r="O113" s="117"/>
      <c r="P113" s="117"/>
      <c r="Q113" s="117">
        <f>-O113</f>
        <v>0</v>
      </c>
      <c r="R113" s="117"/>
      <c r="S113" s="117"/>
      <c r="T113" s="148"/>
      <c r="U113" s="148"/>
      <c r="V113" s="148"/>
    </row>
    <row r="114" spans="1:24" ht="31.5" hidden="1" x14ac:dyDescent="0.25">
      <c r="A114" s="114"/>
      <c r="B114" s="282">
        <v>1039903000</v>
      </c>
      <c r="C114" s="113" t="s">
        <v>321</v>
      </c>
      <c r="D114" s="113"/>
      <c r="E114" s="113"/>
      <c r="F114" s="284"/>
      <c r="G114" s="132"/>
      <c r="H114" s="113" t="s">
        <v>34</v>
      </c>
      <c r="I114" s="117"/>
      <c r="J114" s="117"/>
      <c r="K114" s="199">
        <f>G114</f>
        <v>0</v>
      </c>
      <c r="L114" s="282">
        <v>1039903000</v>
      </c>
      <c r="M114" s="128" t="s">
        <v>324</v>
      </c>
      <c r="N114" s="117">
        <f>G114</f>
        <v>0</v>
      </c>
      <c r="O114" s="117"/>
      <c r="P114" s="117">
        <f>N114</f>
        <v>0</v>
      </c>
      <c r="Q114" s="117"/>
      <c r="R114" s="117"/>
      <c r="S114" s="117"/>
      <c r="T114" s="148"/>
      <c r="U114" s="148"/>
      <c r="V114" s="148"/>
    </row>
    <row r="115" spans="1:24" ht="31.5" hidden="1" x14ac:dyDescent="0.25">
      <c r="A115" s="346"/>
      <c r="B115" s="347">
        <v>1990202000</v>
      </c>
      <c r="C115" s="348" t="s">
        <v>322</v>
      </c>
      <c r="D115" s="348"/>
      <c r="E115" s="348"/>
      <c r="F115" s="348"/>
      <c r="G115" s="349"/>
      <c r="H115" s="348" t="s">
        <v>268</v>
      </c>
      <c r="I115" s="350"/>
      <c r="J115" s="350"/>
      <c r="K115" s="199">
        <f>G115</f>
        <v>0</v>
      </c>
      <c r="L115" s="347">
        <v>1990202000</v>
      </c>
      <c r="M115" s="351" t="s">
        <v>323</v>
      </c>
      <c r="N115" s="350">
        <f>G115</f>
        <v>0</v>
      </c>
      <c r="O115" s="350"/>
      <c r="P115" s="350">
        <f>N115</f>
        <v>0</v>
      </c>
      <c r="Q115" s="350"/>
      <c r="R115" s="117"/>
      <c r="S115" s="117"/>
      <c r="T115" s="148"/>
      <c r="U115" s="148"/>
      <c r="V115" s="148"/>
    </row>
    <row r="116" spans="1:24" ht="47.25" hidden="1" x14ac:dyDescent="0.25">
      <c r="A116" s="114"/>
      <c r="B116" s="282">
        <v>2040104000</v>
      </c>
      <c r="C116" s="113" t="s">
        <v>341</v>
      </c>
      <c r="D116" s="113"/>
      <c r="E116" s="113"/>
      <c r="F116" s="113"/>
      <c r="G116" s="132"/>
      <c r="H116" s="113" t="s">
        <v>342</v>
      </c>
      <c r="I116" s="117"/>
      <c r="J116" s="117"/>
      <c r="K116" s="199">
        <v>-8699.83</v>
      </c>
      <c r="L116" s="282">
        <v>2040104000</v>
      </c>
      <c r="M116" s="128" t="s">
        <v>343</v>
      </c>
      <c r="N116" s="117"/>
      <c r="O116" s="117"/>
      <c r="P116" s="117"/>
      <c r="Q116" s="117">
        <f>O116</f>
        <v>0</v>
      </c>
      <c r="R116" s="117"/>
      <c r="S116" s="117"/>
      <c r="T116" s="148"/>
      <c r="U116" s="148"/>
      <c r="V116" s="148"/>
    </row>
    <row r="117" spans="1:24" s="305" customFormat="1" x14ac:dyDescent="0.25">
      <c r="A117" s="289" t="s">
        <v>414</v>
      </c>
      <c r="B117" s="405"/>
      <c r="C117" s="119"/>
      <c r="D117" s="119"/>
      <c r="E117" s="119"/>
      <c r="F117" s="119"/>
      <c r="G117" s="112">
        <f>G15+G11+G9</f>
        <v>540918715.34897232</v>
      </c>
      <c r="H117" s="120">
        <v>0</v>
      </c>
      <c r="I117" s="112"/>
      <c r="J117" s="112"/>
      <c r="K117" s="200">
        <f>K15+K11</f>
        <v>-775810449.56916678</v>
      </c>
      <c r="L117" s="226"/>
      <c r="M117" s="112">
        <v>0</v>
      </c>
      <c r="N117" s="112"/>
      <c r="O117" s="112"/>
      <c r="P117" s="112">
        <f>P15+P11</f>
        <v>-763059560.44916677</v>
      </c>
      <c r="Q117" s="112">
        <f>Q15+Q11</f>
        <v>12252189.289999999</v>
      </c>
      <c r="R117" s="112"/>
      <c r="S117" s="112">
        <f>SUBTOTAL(9,S18:S115)</f>
        <v>490000</v>
      </c>
      <c r="T117" s="298"/>
      <c r="U117" s="298"/>
      <c r="V117" s="298"/>
    </row>
    <row r="118" spans="1:24" x14ac:dyDescent="0.25">
      <c r="A118" s="295"/>
      <c r="C118" s="297"/>
      <c r="D118" s="297"/>
      <c r="E118" s="297"/>
      <c r="F118" s="297"/>
      <c r="G118" s="298">
        <f>G117-[22]FC1SGE!$J$15</f>
        <v>1.0156631469726563E-3</v>
      </c>
      <c r="H118" s="299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</row>
    <row r="119" spans="1:24" ht="31.5" x14ac:dyDescent="0.25">
      <c r="A119" s="295"/>
      <c r="C119" s="303" t="s">
        <v>116</v>
      </c>
      <c r="D119" s="303"/>
      <c r="E119" s="303"/>
      <c r="F119" s="303"/>
      <c r="G119" s="386" t="s">
        <v>408</v>
      </c>
      <c r="H119" s="303" t="s">
        <v>117</v>
      </c>
      <c r="I119" s="304"/>
      <c r="J119" s="304"/>
      <c r="M119" s="305" t="s">
        <v>118</v>
      </c>
      <c r="N119" s="148"/>
      <c r="O119" s="148"/>
      <c r="P119" s="148"/>
      <c r="Q119" s="306"/>
      <c r="R119" s="305" t="s">
        <v>119</v>
      </c>
      <c r="S119" s="148"/>
      <c r="T119" s="148"/>
      <c r="U119" s="148"/>
      <c r="V119" s="148"/>
    </row>
    <row r="120" spans="1:24" x14ac:dyDescent="0.25">
      <c r="C120" s="307" t="s">
        <v>120</v>
      </c>
      <c r="D120" s="307"/>
      <c r="E120" s="307"/>
      <c r="F120" s="307"/>
      <c r="G120" s="148">
        <f>G117</f>
        <v>540918715.34897232</v>
      </c>
      <c r="H120" s="299"/>
      <c r="J120" s="304"/>
      <c r="M120" s="148"/>
      <c r="N120" s="308" t="s">
        <v>121</v>
      </c>
      <c r="O120" s="309"/>
      <c r="P120" s="148">
        <f>P117</f>
        <v>-763059560.44916677</v>
      </c>
      <c r="Q120" s="148"/>
      <c r="R120" s="148"/>
      <c r="S120" s="148"/>
      <c r="T120" s="148"/>
      <c r="U120" s="148"/>
      <c r="V120" s="148"/>
    </row>
    <row r="121" spans="1:24" x14ac:dyDescent="0.25">
      <c r="C121" s="307" t="s">
        <v>122</v>
      </c>
      <c r="D121" s="307"/>
      <c r="E121" s="307"/>
      <c r="F121" s="307"/>
      <c r="G121" s="148">
        <f>G9</f>
        <v>1316230465.0881391</v>
      </c>
      <c r="M121" s="148"/>
      <c r="N121" s="308" t="s">
        <v>123</v>
      </c>
      <c r="O121" s="309"/>
      <c r="P121" s="148">
        <f>Q117</f>
        <v>12252189.289999999</v>
      </c>
      <c r="Q121" s="148"/>
      <c r="R121" s="148"/>
      <c r="S121" s="148"/>
      <c r="T121" s="148"/>
      <c r="U121" s="148"/>
      <c r="V121" s="148"/>
    </row>
    <row r="122" spans="1:24" x14ac:dyDescent="0.25">
      <c r="C122" s="311" t="s">
        <v>124</v>
      </c>
      <c r="D122" s="311"/>
      <c r="E122" s="311"/>
      <c r="F122" s="311"/>
      <c r="G122" s="298">
        <f>G120-G121</f>
        <v>-775311749.73916674</v>
      </c>
      <c r="H122" s="311" t="s">
        <v>125</v>
      </c>
      <c r="K122" s="312"/>
      <c r="L122" s="313"/>
      <c r="M122" s="148"/>
      <c r="N122" s="308" t="s">
        <v>126</v>
      </c>
      <c r="O122" s="314"/>
      <c r="P122" s="148"/>
      <c r="Q122" s="148"/>
      <c r="R122" s="298" t="s">
        <v>126</v>
      </c>
      <c r="S122" s="298">
        <f>S117</f>
        <v>490000</v>
      </c>
      <c r="T122" s="148"/>
      <c r="U122" s="148"/>
      <c r="V122" s="148"/>
    </row>
    <row r="123" spans="1:24" x14ac:dyDescent="0.25">
      <c r="G123" s="386" t="s">
        <v>408</v>
      </c>
      <c r="H123" s="315"/>
      <c r="M123" s="148"/>
      <c r="N123" s="316" t="s">
        <v>127</v>
      </c>
      <c r="O123" s="298"/>
      <c r="P123" s="298"/>
      <c r="Q123" s="298">
        <f>P120-P121+P122</f>
        <v>-775311749.73916674</v>
      </c>
      <c r="R123" s="148"/>
      <c r="S123" s="148"/>
      <c r="T123" s="148"/>
      <c r="U123" s="343"/>
      <c r="V123" s="343"/>
      <c r="W123" s="296"/>
    </row>
    <row r="124" spans="1:24" s="305" customFormat="1" ht="16.5" x14ac:dyDescent="0.3">
      <c r="B124" s="317"/>
      <c r="C124" s="303"/>
      <c r="D124" s="303"/>
      <c r="E124" s="303"/>
      <c r="F124" s="303"/>
      <c r="G124" s="387" t="s">
        <v>408</v>
      </c>
      <c r="H124" s="318"/>
      <c r="I124" s="318"/>
      <c r="J124" s="318"/>
      <c r="K124" s="312"/>
      <c r="L124" s="313"/>
      <c r="M124" s="298"/>
      <c r="N124" s="298"/>
      <c r="O124" s="298"/>
      <c r="P124" s="298"/>
      <c r="Q124" s="319">
        <f>G122-Q123</f>
        <v>0</v>
      </c>
      <c r="R124" s="298"/>
      <c r="S124" s="298"/>
      <c r="T124" s="298"/>
      <c r="U124" s="345"/>
      <c r="V124" s="345"/>
      <c r="W124" s="317"/>
    </row>
    <row r="125" spans="1:24" ht="16.5" x14ac:dyDescent="0.3">
      <c r="G125" s="386" t="s">
        <v>408</v>
      </c>
      <c r="H125" s="318"/>
      <c r="I125" s="318"/>
      <c r="J125" s="318"/>
      <c r="M125" s="148"/>
      <c r="N125" s="148"/>
      <c r="O125" s="148"/>
      <c r="P125" s="148"/>
      <c r="Q125" s="148"/>
      <c r="R125" s="336"/>
      <c r="S125" s="336"/>
      <c r="T125" s="148"/>
      <c r="U125" s="148"/>
      <c r="V125" s="148"/>
      <c r="W125" s="320"/>
      <c r="X125" s="320"/>
    </row>
    <row r="126" spans="1:24" ht="16.5" x14ac:dyDescent="0.3">
      <c r="C126" s="303" t="s">
        <v>130</v>
      </c>
      <c r="D126" s="303"/>
      <c r="E126" s="303"/>
      <c r="F126" s="303"/>
      <c r="G126" s="386" t="s">
        <v>408</v>
      </c>
      <c r="H126" s="321"/>
      <c r="I126" s="321"/>
      <c r="J126" s="321"/>
      <c r="M126" s="148"/>
      <c r="N126" s="148" t="s">
        <v>131</v>
      </c>
      <c r="O126" s="148"/>
      <c r="P126" s="148"/>
      <c r="Q126" s="148"/>
      <c r="R126" s="298"/>
      <c r="S126" s="148"/>
      <c r="T126" s="148"/>
      <c r="U126" s="298"/>
      <c r="V126" s="298"/>
      <c r="W126" s="306"/>
    </row>
    <row r="127" spans="1:24" x14ac:dyDescent="0.25">
      <c r="G127" s="485" t="s">
        <v>408</v>
      </c>
      <c r="H127" s="299"/>
      <c r="M127" s="148"/>
      <c r="N127" s="148"/>
      <c r="O127" s="148"/>
      <c r="P127" s="148"/>
      <c r="Q127" s="148"/>
      <c r="R127" s="148"/>
      <c r="S127" s="148"/>
      <c r="T127" s="148"/>
      <c r="U127" s="148"/>
      <c r="V127" s="148"/>
      <c r="W127" s="320"/>
    </row>
    <row r="128" spans="1:24" x14ac:dyDescent="0.25">
      <c r="G128" s="485" t="s">
        <v>408</v>
      </c>
      <c r="H128" s="315"/>
      <c r="I128" s="305"/>
      <c r="M128" s="148"/>
      <c r="N128" s="148"/>
      <c r="O128" s="148"/>
      <c r="P128" s="148"/>
      <c r="Q128" s="148"/>
      <c r="R128" s="148"/>
      <c r="S128" s="148"/>
      <c r="T128" s="148"/>
      <c r="U128" s="148"/>
      <c r="V128" s="148"/>
    </row>
    <row r="129" spans="2:22" x14ac:dyDescent="0.25">
      <c r="C129" s="241" t="s">
        <v>255</v>
      </c>
      <c r="D129" s="241"/>
      <c r="E129" s="241"/>
      <c r="F129" s="241"/>
      <c r="G129" s="485" t="s">
        <v>408</v>
      </c>
      <c r="H129" s="299"/>
      <c r="M129" s="148"/>
      <c r="N129" s="426" t="s">
        <v>132</v>
      </c>
      <c r="O129" s="426"/>
      <c r="P129" s="426"/>
      <c r="Q129" s="148"/>
      <c r="R129" s="148"/>
      <c r="S129" s="148"/>
      <c r="T129" s="148"/>
      <c r="U129" s="148"/>
      <c r="V129" s="148"/>
    </row>
    <row r="130" spans="2:22" x14ac:dyDescent="0.25">
      <c r="C130" s="322" t="s">
        <v>133</v>
      </c>
      <c r="D130" s="322"/>
      <c r="E130" s="322"/>
      <c r="F130" s="322"/>
      <c r="G130" s="485" t="s">
        <v>408</v>
      </c>
      <c r="H130" s="323"/>
      <c r="I130" s="305"/>
      <c r="M130" s="324"/>
      <c r="N130" s="423" t="s">
        <v>134</v>
      </c>
      <c r="O130" s="423"/>
      <c r="P130" s="423"/>
      <c r="Q130" s="324"/>
      <c r="R130" s="324"/>
      <c r="S130" s="324"/>
      <c r="T130" s="148"/>
      <c r="U130" s="148"/>
      <c r="V130" s="148"/>
    </row>
    <row r="132" spans="2:22" x14ac:dyDescent="0.25">
      <c r="B132" s="317"/>
      <c r="C132" s="325"/>
      <c r="D132" s="325"/>
      <c r="E132" s="325"/>
      <c r="F132" s="325"/>
    </row>
    <row r="133" spans="2:22" x14ac:dyDescent="0.25">
      <c r="B133" s="317"/>
      <c r="C133" s="325"/>
      <c r="D133" s="325"/>
      <c r="E133" s="325"/>
      <c r="F133" s="325"/>
      <c r="N133" s="326"/>
      <c r="O133" s="327"/>
      <c r="P133" s="317"/>
      <c r="Q133" s="327"/>
    </row>
    <row r="134" spans="2:22" x14ac:dyDescent="0.25">
      <c r="B134" s="317"/>
      <c r="C134" s="325"/>
      <c r="D134" s="325"/>
      <c r="E134" s="325"/>
      <c r="F134" s="325"/>
      <c r="N134" s="326"/>
      <c r="O134" s="327"/>
      <c r="P134" s="317"/>
      <c r="Q134" s="327"/>
    </row>
    <row r="135" spans="2:22" x14ac:dyDescent="0.25">
      <c r="B135" s="317"/>
      <c r="C135" s="325"/>
      <c r="D135" s="325"/>
      <c r="E135" s="325"/>
      <c r="F135" s="325"/>
      <c r="N135" s="326"/>
      <c r="O135" s="327"/>
      <c r="P135" s="317"/>
      <c r="Q135" s="327"/>
    </row>
    <row r="136" spans="2:22" x14ac:dyDescent="0.25">
      <c r="B136" s="317"/>
      <c r="C136" s="325"/>
      <c r="D136" s="325"/>
      <c r="E136" s="325"/>
      <c r="F136" s="325"/>
      <c r="N136" s="326"/>
      <c r="O136" s="327"/>
      <c r="P136" s="317"/>
      <c r="Q136" s="327"/>
    </row>
    <row r="137" spans="2:22" x14ac:dyDescent="0.25">
      <c r="B137" s="317"/>
      <c r="C137" s="325"/>
      <c r="D137" s="325"/>
      <c r="E137" s="325"/>
      <c r="F137" s="325"/>
      <c r="G137" s="300"/>
      <c r="M137" s="148"/>
      <c r="N137" s="326"/>
      <c r="O137" s="327"/>
      <c r="P137" s="317"/>
      <c r="Q137" s="327"/>
    </row>
    <row r="138" spans="2:22" x14ac:dyDescent="0.25">
      <c r="B138" s="317"/>
      <c r="C138" s="325"/>
      <c r="D138" s="325"/>
      <c r="E138" s="325"/>
      <c r="F138" s="325"/>
      <c r="G138" s="300"/>
      <c r="M138" s="148"/>
      <c r="N138" s="326"/>
      <c r="O138" s="327"/>
      <c r="P138" s="317"/>
      <c r="Q138" s="327"/>
    </row>
    <row r="139" spans="2:22" x14ac:dyDescent="0.25">
      <c r="B139" s="317"/>
      <c r="C139" s="325"/>
      <c r="D139" s="325"/>
      <c r="E139" s="325"/>
      <c r="F139" s="325"/>
      <c r="G139" s="300"/>
      <c r="M139" s="148"/>
      <c r="N139" s="326"/>
      <c r="O139" s="327"/>
      <c r="P139" s="317"/>
      <c r="Q139" s="327"/>
    </row>
    <row r="140" spans="2:22" x14ac:dyDescent="0.25">
      <c r="B140" s="317"/>
      <c r="C140" s="325"/>
      <c r="D140" s="325"/>
      <c r="E140" s="325"/>
      <c r="F140" s="325"/>
      <c r="G140" s="300"/>
      <c r="K140" s="312"/>
      <c r="M140" s="148"/>
      <c r="N140" s="326"/>
      <c r="O140" s="327"/>
      <c r="P140" s="317"/>
      <c r="Q140" s="327"/>
    </row>
    <row r="141" spans="2:22" x14ac:dyDescent="0.25">
      <c r="B141" s="317"/>
      <c r="C141" s="325"/>
      <c r="D141" s="325"/>
      <c r="E141" s="325"/>
      <c r="F141" s="325"/>
      <c r="N141" s="326"/>
      <c r="O141" s="327"/>
      <c r="P141" s="317"/>
      <c r="Q141" s="327"/>
    </row>
    <row r="142" spans="2:22" x14ac:dyDescent="0.25">
      <c r="B142" s="317"/>
      <c r="C142" s="325"/>
      <c r="D142" s="325"/>
      <c r="E142" s="325"/>
      <c r="F142" s="325"/>
      <c r="N142" s="326"/>
      <c r="O142" s="327"/>
      <c r="P142" s="317"/>
      <c r="Q142" s="327"/>
    </row>
    <row r="143" spans="2:22" x14ac:dyDescent="0.25">
      <c r="B143" s="317"/>
      <c r="C143" s="325"/>
      <c r="D143" s="325"/>
      <c r="E143" s="325"/>
      <c r="F143" s="325"/>
      <c r="N143" s="326"/>
      <c r="O143" s="327"/>
      <c r="P143" s="317"/>
      <c r="Q143" s="327"/>
    </row>
    <row r="144" spans="2:22" x14ac:dyDescent="0.25">
      <c r="B144" s="317"/>
      <c r="C144" s="325"/>
      <c r="D144" s="325"/>
      <c r="E144" s="325"/>
      <c r="F144" s="325"/>
      <c r="N144" s="326"/>
      <c r="O144" s="327"/>
      <c r="P144" s="317"/>
      <c r="Q144" s="327"/>
    </row>
    <row r="145" spans="2:17" x14ac:dyDescent="0.25">
      <c r="B145" s="317"/>
      <c r="C145" s="325"/>
      <c r="D145" s="325"/>
      <c r="E145" s="325"/>
      <c r="F145" s="325"/>
      <c r="N145" s="326"/>
      <c r="O145" s="327"/>
      <c r="P145" s="317"/>
      <c r="Q145" s="327"/>
    </row>
    <row r="146" spans="2:17" x14ac:dyDescent="0.25">
      <c r="B146" s="317"/>
      <c r="C146" s="325"/>
      <c r="D146" s="325"/>
      <c r="E146" s="325"/>
      <c r="F146" s="325"/>
      <c r="N146" s="326"/>
      <c r="O146" s="327"/>
      <c r="P146" s="317"/>
      <c r="Q146" s="327"/>
    </row>
    <row r="147" spans="2:17" x14ac:dyDescent="0.25">
      <c r="B147" s="328"/>
      <c r="C147" s="325"/>
      <c r="D147" s="325"/>
      <c r="E147" s="325"/>
      <c r="F147" s="325"/>
      <c r="N147" s="326"/>
      <c r="O147" s="327"/>
      <c r="P147" s="317"/>
      <c r="Q147" s="327"/>
    </row>
    <row r="148" spans="2:17" x14ac:dyDescent="0.25">
      <c r="B148" s="329"/>
      <c r="C148" s="325"/>
      <c r="D148" s="325"/>
      <c r="E148" s="325"/>
      <c r="F148" s="325"/>
      <c r="K148" s="312"/>
      <c r="N148" s="326"/>
      <c r="O148" s="327"/>
      <c r="P148" s="317"/>
      <c r="Q148" s="327"/>
    </row>
    <row r="149" spans="2:17" x14ac:dyDescent="0.25">
      <c r="B149" s="317"/>
      <c r="C149" s="325"/>
      <c r="D149" s="325"/>
      <c r="E149" s="325"/>
      <c r="F149" s="325"/>
      <c r="N149" s="326"/>
      <c r="O149" s="327"/>
      <c r="P149" s="317"/>
      <c r="Q149" s="327"/>
    </row>
    <row r="150" spans="2:17" x14ac:dyDescent="0.25">
      <c r="B150" s="317"/>
      <c r="C150" s="325"/>
      <c r="D150" s="325"/>
      <c r="E150" s="325"/>
      <c r="F150" s="325"/>
      <c r="K150" s="312"/>
      <c r="L150" s="330"/>
      <c r="M150" s="327"/>
      <c r="N150" s="326"/>
      <c r="O150" s="327"/>
      <c r="P150" s="317"/>
      <c r="Q150" s="327"/>
    </row>
    <row r="151" spans="2:17" x14ac:dyDescent="0.25">
      <c r="B151" s="317"/>
      <c r="C151" s="325"/>
      <c r="D151" s="325"/>
      <c r="E151" s="325"/>
      <c r="F151" s="325"/>
      <c r="J151" s="305"/>
      <c r="K151" s="312"/>
      <c r="L151" s="330"/>
      <c r="M151" s="327"/>
      <c r="N151" s="326"/>
      <c r="O151" s="327"/>
      <c r="P151" s="317"/>
      <c r="Q151" s="327"/>
    </row>
    <row r="152" spans="2:17" x14ac:dyDescent="0.25">
      <c r="B152" s="317"/>
      <c r="C152" s="325"/>
      <c r="D152" s="325"/>
      <c r="E152" s="325"/>
      <c r="F152" s="325"/>
      <c r="J152" s="305"/>
      <c r="K152" s="312"/>
      <c r="L152" s="330"/>
      <c r="M152" s="327"/>
      <c r="N152" s="326"/>
      <c r="O152" s="327"/>
      <c r="P152" s="317"/>
      <c r="Q152" s="327"/>
    </row>
    <row r="153" spans="2:17" x14ac:dyDescent="0.25">
      <c r="B153" s="317"/>
      <c r="C153" s="325"/>
      <c r="D153" s="325"/>
      <c r="E153" s="325"/>
      <c r="F153" s="325"/>
      <c r="J153" s="305"/>
      <c r="K153" s="327"/>
      <c r="L153" s="330"/>
      <c r="M153" s="327"/>
      <c r="N153" s="326"/>
      <c r="O153" s="327"/>
      <c r="P153" s="317"/>
      <c r="Q153" s="327"/>
    </row>
    <row r="154" spans="2:17" x14ac:dyDescent="0.25">
      <c r="B154" s="317"/>
      <c r="C154" s="325"/>
      <c r="D154" s="325"/>
      <c r="E154" s="325"/>
      <c r="F154" s="325"/>
      <c r="J154" s="305"/>
      <c r="K154" s="327"/>
      <c r="L154" s="330"/>
      <c r="M154" s="327"/>
      <c r="N154" s="326"/>
      <c r="O154" s="327"/>
      <c r="P154" s="317"/>
      <c r="Q154" s="327"/>
    </row>
    <row r="155" spans="2:17" x14ac:dyDescent="0.25">
      <c r="B155" s="317"/>
      <c r="C155" s="325"/>
      <c r="D155" s="325"/>
      <c r="E155" s="325"/>
      <c r="F155" s="325"/>
      <c r="J155" s="305"/>
      <c r="K155" s="312"/>
      <c r="L155" s="330"/>
      <c r="M155" s="327"/>
      <c r="N155" s="326"/>
      <c r="O155" s="327"/>
      <c r="P155" s="317"/>
      <c r="Q155" s="327"/>
    </row>
    <row r="156" spans="2:17" x14ac:dyDescent="0.25">
      <c r="B156" s="317"/>
      <c r="C156" s="325"/>
      <c r="D156" s="325"/>
      <c r="E156" s="325"/>
      <c r="F156" s="325"/>
      <c r="J156" s="305"/>
      <c r="K156" s="312"/>
      <c r="L156" s="330"/>
      <c r="M156" s="327"/>
      <c r="N156" s="317"/>
      <c r="O156" s="331"/>
      <c r="P156" s="317"/>
      <c r="Q156" s="327"/>
    </row>
    <row r="157" spans="2:17" x14ac:dyDescent="0.25">
      <c r="B157" s="317"/>
      <c r="C157" s="325"/>
      <c r="D157" s="325"/>
      <c r="E157" s="325"/>
      <c r="F157" s="325"/>
      <c r="J157" s="305"/>
      <c r="K157" s="312"/>
      <c r="L157" s="330"/>
      <c r="M157" s="327"/>
      <c r="N157" s="317"/>
      <c r="O157" s="331"/>
      <c r="P157" s="317"/>
      <c r="Q157" s="327"/>
    </row>
    <row r="158" spans="2:17" x14ac:dyDescent="0.25">
      <c r="B158" s="317"/>
      <c r="C158" s="325"/>
      <c r="D158" s="325"/>
      <c r="E158" s="325"/>
      <c r="F158" s="325"/>
      <c r="K158" s="312"/>
      <c r="L158" s="330"/>
      <c r="M158" s="327"/>
      <c r="O158" s="304"/>
      <c r="P158" s="317"/>
      <c r="Q158" s="327"/>
    </row>
    <row r="159" spans="2:17" x14ac:dyDescent="0.25">
      <c r="B159" s="317"/>
      <c r="C159" s="325"/>
      <c r="D159" s="325"/>
      <c r="E159" s="325"/>
      <c r="F159" s="325"/>
      <c r="K159" s="312"/>
      <c r="L159" s="330"/>
      <c r="M159" s="327"/>
      <c r="P159" s="317"/>
      <c r="Q159" s="327"/>
    </row>
    <row r="160" spans="2:17" x14ac:dyDescent="0.25">
      <c r="B160" s="317"/>
      <c r="C160" s="325"/>
      <c r="D160" s="325"/>
      <c r="E160" s="325"/>
      <c r="F160" s="325"/>
      <c r="K160" s="312"/>
      <c r="L160" s="330"/>
      <c r="M160" s="327"/>
      <c r="P160" s="317"/>
      <c r="Q160" s="327"/>
    </row>
    <row r="161" spans="2:17" x14ac:dyDescent="0.25">
      <c r="B161" s="317"/>
      <c r="C161" s="325"/>
      <c r="D161" s="325"/>
      <c r="E161" s="325"/>
      <c r="F161" s="325"/>
      <c r="J161" s="305"/>
      <c r="K161" s="312"/>
      <c r="L161" s="330"/>
      <c r="M161" s="327"/>
      <c r="P161" s="317"/>
      <c r="Q161" s="327"/>
    </row>
    <row r="162" spans="2:17" x14ac:dyDescent="0.25">
      <c r="B162" s="317"/>
      <c r="C162" s="325"/>
      <c r="D162" s="325"/>
      <c r="E162" s="325"/>
      <c r="F162" s="325"/>
      <c r="K162" s="312"/>
      <c r="L162" s="330"/>
      <c r="M162" s="327"/>
      <c r="P162" s="317"/>
      <c r="Q162" s="327"/>
    </row>
    <row r="163" spans="2:17" x14ac:dyDescent="0.25">
      <c r="B163" s="317"/>
      <c r="C163" s="325"/>
      <c r="D163" s="325"/>
      <c r="E163" s="325"/>
      <c r="F163" s="325"/>
      <c r="J163" s="305"/>
      <c r="K163" s="312"/>
      <c r="L163" s="330"/>
      <c r="M163" s="327"/>
      <c r="P163" s="317"/>
      <c r="Q163" s="327"/>
    </row>
    <row r="164" spans="2:17" x14ac:dyDescent="0.25">
      <c r="B164" s="317"/>
      <c r="C164" s="325"/>
      <c r="D164" s="325"/>
      <c r="E164" s="325"/>
      <c r="F164" s="325"/>
      <c r="K164" s="312"/>
      <c r="L164" s="330"/>
      <c r="M164" s="327"/>
      <c r="P164" s="317"/>
      <c r="Q164" s="327"/>
    </row>
    <row r="165" spans="2:17" x14ac:dyDescent="0.25">
      <c r="B165" s="317"/>
      <c r="C165" s="325"/>
      <c r="D165" s="325"/>
      <c r="E165" s="325"/>
      <c r="F165" s="325"/>
      <c r="L165" s="330"/>
      <c r="M165" s="327"/>
      <c r="P165" s="317"/>
      <c r="Q165" s="327"/>
    </row>
    <row r="166" spans="2:17" x14ac:dyDescent="0.25">
      <c r="B166" s="317"/>
      <c r="C166" s="325"/>
      <c r="D166" s="325"/>
      <c r="E166" s="325"/>
      <c r="F166" s="325"/>
      <c r="L166" s="330"/>
      <c r="M166" s="327"/>
      <c r="P166" s="317"/>
      <c r="Q166" s="327"/>
    </row>
    <row r="167" spans="2:17" x14ac:dyDescent="0.25">
      <c r="B167" s="317"/>
      <c r="C167" s="325"/>
      <c r="D167" s="325"/>
      <c r="E167" s="325"/>
      <c r="F167" s="325"/>
      <c r="L167" s="330"/>
      <c r="M167" s="327"/>
      <c r="P167" s="317"/>
      <c r="Q167" s="327"/>
    </row>
    <row r="168" spans="2:17" x14ac:dyDescent="0.25">
      <c r="B168" s="317"/>
      <c r="C168" s="325"/>
      <c r="D168" s="325"/>
      <c r="E168" s="325"/>
      <c r="F168" s="325"/>
      <c r="L168" s="330"/>
      <c r="M168" s="327"/>
    </row>
    <row r="169" spans="2:17" x14ac:dyDescent="0.25">
      <c r="B169" s="317"/>
      <c r="C169" s="325"/>
      <c r="D169" s="325"/>
      <c r="E169" s="325"/>
      <c r="F169" s="325"/>
      <c r="L169" s="330"/>
      <c r="M169" s="327"/>
    </row>
    <row r="170" spans="2:17" x14ac:dyDescent="0.25">
      <c r="B170" s="317"/>
      <c r="C170" s="325"/>
      <c r="D170" s="325"/>
      <c r="E170" s="325"/>
      <c r="F170" s="325"/>
      <c r="L170" s="330"/>
      <c r="M170" s="327"/>
    </row>
    <row r="171" spans="2:17" x14ac:dyDescent="0.25">
      <c r="B171" s="317"/>
      <c r="C171" s="325"/>
      <c r="D171" s="325"/>
      <c r="E171" s="325"/>
      <c r="F171" s="325"/>
      <c r="L171" s="330"/>
      <c r="M171" s="327"/>
    </row>
    <row r="172" spans="2:17" x14ac:dyDescent="0.25">
      <c r="B172" s="317"/>
      <c r="C172" s="325"/>
      <c r="D172" s="325"/>
      <c r="E172" s="325"/>
      <c r="F172" s="325"/>
      <c r="L172" s="330"/>
      <c r="M172" s="327"/>
    </row>
    <row r="173" spans="2:17" x14ac:dyDescent="0.25">
      <c r="B173" s="317"/>
      <c r="C173" s="325"/>
      <c r="D173" s="325"/>
      <c r="E173" s="325"/>
      <c r="F173" s="325"/>
      <c r="L173" s="330"/>
      <c r="M173" s="327"/>
    </row>
    <row r="174" spans="2:17" x14ac:dyDescent="0.25">
      <c r="B174" s="317"/>
      <c r="C174" s="325"/>
      <c r="D174" s="325"/>
      <c r="E174" s="325"/>
      <c r="F174" s="325"/>
      <c r="L174" s="330"/>
      <c r="M174" s="327"/>
    </row>
    <row r="175" spans="2:17" x14ac:dyDescent="0.25">
      <c r="B175" s="317"/>
      <c r="C175" s="325"/>
      <c r="D175" s="325"/>
      <c r="E175" s="325"/>
      <c r="F175" s="325"/>
      <c r="L175" s="330"/>
      <c r="M175" s="327"/>
    </row>
    <row r="176" spans="2:17" x14ac:dyDescent="0.25">
      <c r="L176" s="330"/>
      <c r="M176" s="327"/>
    </row>
    <row r="177" spans="11:13" x14ac:dyDescent="0.25">
      <c r="L177" s="330"/>
      <c r="M177" s="327"/>
    </row>
    <row r="178" spans="11:13" x14ac:dyDescent="0.25">
      <c r="L178" s="330"/>
      <c r="M178" s="327"/>
    </row>
    <row r="179" spans="11:13" x14ac:dyDescent="0.25">
      <c r="L179" s="330"/>
      <c r="M179" s="327"/>
    </row>
    <row r="180" spans="11:13" x14ac:dyDescent="0.25">
      <c r="K180" s="312"/>
      <c r="L180" s="330"/>
      <c r="M180" s="327"/>
    </row>
    <row r="181" spans="11:13" x14ac:dyDescent="0.25">
      <c r="M181" s="332"/>
    </row>
  </sheetData>
  <autoFilter ref="A17:X126"/>
  <mergeCells count="9">
    <mergeCell ref="N130:P130"/>
    <mergeCell ref="A6:C8"/>
    <mergeCell ref="G6:G8"/>
    <mergeCell ref="H6:Q6"/>
    <mergeCell ref="R6:S8"/>
    <mergeCell ref="H7:K7"/>
    <mergeCell ref="M7:Q7"/>
    <mergeCell ref="A9:C9"/>
    <mergeCell ref="N129:P129"/>
  </mergeCells>
  <conditionalFormatting sqref="L150:L180">
    <cfRule type="containsText" dxfId="137" priority="1" operator="containsText" text="5020201002">
      <formula>NOT(ISERROR(SEARCH("5020201002",L150)))</formula>
    </cfRule>
    <cfRule type="containsText" dxfId="136" priority="2" operator="containsText" text="5020201010">
      <formula>NOT(ISERROR(SEARCH("5020201010",L150)))</formula>
    </cfRule>
    <cfRule type="containsText" dxfId="135" priority="3" operator="containsText" text="5020201000">
      <formula>NOT(ISERROR(SEARCH("5020201000",L150)))</formula>
    </cfRule>
    <cfRule type="containsText" dxfId="134" priority="4" operator="containsText" text="502020101000">
      <formula>NOT(ISERROR(SEARCH("502020101000",L150)))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13"/>
  <sheetViews>
    <sheetView workbookViewId="0">
      <selection activeCell="B13" sqref="B13"/>
    </sheetView>
  </sheetViews>
  <sheetFormatPr defaultRowHeight="15" x14ac:dyDescent="0.25"/>
  <cols>
    <col min="1" max="1" width="13.140625" bestFit="1" customWidth="1"/>
    <col min="2" max="2" width="17.85546875" style="4" bestFit="1" customWidth="1"/>
  </cols>
  <sheetData>
    <row r="3" spans="1:2" x14ac:dyDescent="0.25">
      <c r="A3" s="253" t="s">
        <v>326</v>
      </c>
      <c r="B3" s="4" t="s">
        <v>328</v>
      </c>
    </row>
    <row r="4" spans="1:2" x14ac:dyDescent="0.25">
      <c r="A4" s="254">
        <v>5010102000</v>
      </c>
      <c r="B4" s="4">
        <v>63102.31</v>
      </c>
    </row>
    <row r="5" spans="1:2" x14ac:dyDescent="0.25">
      <c r="A5" s="254">
        <v>5020101000</v>
      </c>
      <c r="B5" s="4">
        <v>363385.13</v>
      </c>
    </row>
    <row r="6" spans="1:2" x14ac:dyDescent="0.25">
      <c r="A6" s="254">
        <v>5020201002</v>
      </c>
      <c r="B6" s="4">
        <v>6888</v>
      </c>
    </row>
    <row r="7" spans="1:2" x14ac:dyDescent="0.25">
      <c r="A7" s="254">
        <v>5020322001</v>
      </c>
      <c r="B7" s="4">
        <v>1367.4</v>
      </c>
    </row>
    <row r="8" spans="1:2" x14ac:dyDescent="0.25">
      <c r="A8" s="254">
        <v>5020502001</v>
      </c>
      <c r="B8" s="4">
        <v>3770</v>
      </c>
    </row>
    <row r="9" spans="1:2" x14ac:dyDescent="0.25">
      <c r="A9" s="254">
        <v>5021199000</v>
      </c>
      <c r="B9" s="4">
        <v>335968.94</v>
      </c>
    </row>
    <row r="10" spans="1:2" x14ac:dyDescent="0.25">
      <c r="A10" s="254">
        <v>5021306001</v>
      </c>
      <c r="B10" s="4">
        <v>0.01</v>
      </c>
    </row>
    <row r="11" spans="1:2" x14ac:dyDescent="0.25">
      <c r="A11" s="254">
        <v>5021499000</v>
      </c>
      <c r="B11" s="4">
        <v>2450</v>
      </c>
    </row>
    <row r="12" spans="1:2" x14ac:dyDescent="0.25">
      <c r="A12" s="254">
        <v>5029999099</v>
      </c>
      <c r="B12" s="4">
        <v>200</v>
      </c>
    </row>
    <row r="13" spans="1:2" x14ac:dyDescent="0.25">
      <c r="A13" s="254" t="s">
        <v>327</v>
      </c>
      <c r="B13" s="4">
        <v>777131.79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2"/>
  <sheetViews>
    <sheetView workbookViewId="0">
      <selection activeCell="K22" sqref="K22"/>
    </sheetView>
  </sheetViews>
  <sheetFormatPr defaultRowHeight="15" x14ac:dyDescent="0.25"/>
  <cols>
    <col min="1" max="1" width="28.42578125" customWidth="1"/>
    <col min="2" max="2" width="13.140625" customWidth="1"/>
  </cols>
  <sheetData>
    <row r="1" spans="1:2" x14ac:dyDescent="0.25">
      <c r="A1" t="s">
        <v>325</v>
      </c>
      <c r="B1" t="s">
        <v>329</v>
      </c>
    </row>
    <row r="2" spans="1:2" x14ac:dyDescent="0.25">
      <c r="A2">
        <v>5010102000</v>
      </c>
      <c r="B2">
        <v>63102.31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10316"/>
  <sheetViews>
    <sheetView topLeftCell="A69" workbookViewId="0">
      <selection activeCell="D101" sqref="D101"/>
    </sheetView>
  </sheetViews>
  <sheetFormatPr defaultRowHeight="15" x14ac:dyDescent="0.25"/>
  <cols>
    <col min="1" max="1" width="18.7109375" bestFit="1" customWidth="1"/>
    <col min="2" max="2" width="27" style="4" customWidth="1"/>
    <col min="3" max="3" width="28.28515625" style="4" customWidth="1"/>
    <col min="4" max="4" width="22.28515625" style="4" customWidth="1"/>
    <col min="5" max="5" width="19.7109375" style="4" customWidth="1"/>
    <col min="6" max="6" width="18.140625" style="382" bestFit="1" customWidth="1"/>
    <col min="7" max="7" width="26.28515625" style="4" customWidth="1"/>
    <col min="8" max="8" width="13.140625" style="4" customWidth="1"/>
    <col min="9" max="9" width="13.140625" style="358" customWidth="1"/>
    <col min="10" max="10" width="19.7109375" style="356" customWidth="1"/>
    <col min="11" max="11" width="34.5703125" style="360" customWidth="1"/>
    <col min="12" max="12" width="23.5703125" style="360" customWidth="1"/>
    <col min="13" max="13" width="13.140625" style="360" customWidth="1"/>
    <col min="14" max="14" width="19.7109375" style="360" customWidth="1"/>
    <col min="15" max="15" width="15.140625" style="360" customWidth="1"/>
    <col min="16" max="18" width="11" style="360" customWidth="1"/>
    <col min="19" max="19" width="11" style="361" customWidth="1"/>
    <col min="20" max="20" width="11" style="356" customWidth="1"/>
    <col min="21" max="22" width="11" style="360" customWidth="1"/>
    <col min="23" max="23" width="11.28515625" style="360" customWidth="1"/>
    <col min="24" max="27" width="9.140625" style="360" customWidth="1"/>
    <col min="28" max="28" width="29.5703125" style="360" customWidth="1"/>
    <col min="29" max="29" width="15.28515625" style="356" bestFit="1" customWidth="1"/>
    <col min="30" max="30" width="15.5703125" style="360" customWidth="1"/>
    <col min="31" max="31" width="9.140625" style="360"/>
    <col min="32" max="32" width="13.140625" style="360" customWidth="1"/>
    <col min="33" max="33" width="17.85546875" style="356" customWidth="1"/>
    <col min="34" max="34" width="33.5703125" style="360" bestFit="1" customWidth="1"/>
    <col min="35" max="54" width="16.28515625" style="360" bestFit="1" customWidth="1"/>
    <col min="55" max="55" width="12.7109375" style="360" bestFit="1" customWidth="1"/>
    <col min="56" max="16384" width="9.140625" style="360"/>
  </cols>
  <sheetData>
    <row r="1" spans="1:33" s="378" customFormat="1" ht="33" customHeight="1" x14ac:dyDescent="0.25">
      <c r="A1" s="427" t="s">
        <v>388</v>
      </c>
      <c r="B1" s="427"/>
      <c r="C1" s="427"/>
      <c r="D1" s="427"/>
      <c r="E1" s="375"/>
      <c r="F1" s="427" t="s">
        <v>400</v>
      </c>
      <c r="G1" s="427"/>
      <c r="H1" s="427"/>
      <c r="I1" s="427"/>
      <c r="J1" s="377"/>
      <c r="K1" s="427" t="s">
        <v>400</v>
      </c>
      <c r="L1" s="427"/>
      <c r="M1" s="427"/>
      <c r="N1" s="427"/>
      <c r="S1" s="379"/>
      <c r="T1" s="376"/>
      <c r="AB1" s="379"/>
      <c r="AC1" s="376"/>
      <c r="AG1" s="380"/>
    </row>
    <row r="2" spans="1:33" x14ac:dyDescent="0.25">
      <c r="A2" s="353" t="s">
        <v>299</v>
      </c>
      <c r="B2" s="247">
        <v>-124970.56</v>
      </c>
      <c r="C2" s="4">
        <f>D9-B2</f>
        <v>0</v>
      </c>
      <c r="F2" s="353" t="s">
        <v>299</v>
      </c>
      <c r="G2" s="247">
        <f>-[23]TB!$F$123+[23]TB!$G$123</f>
        <v>-2361246.7499999995</v>
      </c>
      <c r="H2" s="4">
        <f>G2-G9</f>
        <v>0</v>
      </c>
      <c r="I2" s="359"/>
      <c r="K2" s="353" t="s">
        <v>299</v>
      </c>
      <c r="L2" s="247">
        <f>-[24]TB!$F$123+[24]TB!$G$123</f>
        <v>-6252875.0499999998</v>
      </c>
      <c r="N2" s="395" t="s">
        <v>413</v>
      </c>
      <c r="O2" s="396">
        <f>-[25]SDO!$H$629+-[25]SDO!$H$707</f>
        <v>-7385425.0099999998</v>
      </c>
    </row>
    <row r="3" spans="1:33" x14ac:dyDescent="0.25">
      <c r="A3" s="353" t="s">
        <v>300</v>
      </c>
      <c r="B3" s="247">
        <v>-783135.31</v>
      </c>
      <c r="C3" s="4">
        <f>B3-B42</f>
        <v>0</v>
      </c>
      <c r="F3" s="353" t="s">
        <v>300</v>
      </c>
      <c r="G3" s="247">
        <f>-[23]Control!$F$119+[23]Control!$G$119</f>
        <v>-956139.58000000007</v>
      </c>
      <c r="H3" s="4">
        <f>G3-G44</f>
        <v>0</v>
      </c>
      <c r="I3" s="359"/>
      <c r="K3" s="353" t="s">
        <v>300</v>
      </c>
      <c r="L3" s="247">
        <v>-8817353.0999999996</v>
      </c>
      <c r="N3" s="395" t="s">
        <v>420</v>
      </c>
      <c r="O3" s="397">
        <v>-3886438.2</v>
      </c>
    </row>
    <row r="4" spans="1:33" x14ac:dyDescent="0.25">
      <c r="A4" s="353" t="s">
        <v>301</v>
      </c>
      <c r="B4" s="247">
        <v>-91983772.949999988</v>
      </c>
      <c r="C4"/>
      <c r="F4" s="353" t="s">
        <v>301</v>
      </c>
      <c r="G4" s="247">
        <f>-[23]Control!$N$119</f>
        <v>-49865532.290000014</v>
      </c>
      <c r="I4" s="359"/>
      <c r="J4" s="359"/>
      <c r="K4" s="353" t="s">
        <v>301</v>
      </c>
      <c r="L4" s="247">
        <v>-20155688.210000001</v>
      </c>
      <c r="N4" s="395" t="s">
        <v>421</v>
      </c>
      <c r="O4" s="397">
        <v>-234887.5</v>
      </c>
      <c r="U4" s="362"/>
      <c r="AB4" s="361"/>
      <c r="AC4" s="359"/>
      <c r="AD4" s="362"/>
    </row>
    <row r="5" spans="1:33" x14ac:dyDescent="0.25">
      <c r="A5" s="353" t="s">
        <v>389</v>
      </c>
      <c r="B5" s="247">
        <v>-99646.95</v>
      </c>
      <c r="F5" s="353" t="s">
        <v>389</v>
      </c>
      <c r="I5" s="359"/>
      <c r="J5" s="359"/>
      <c r="K5" s="353" t="s">
        <v>389</v>
      </c>
      <c r="L5" s="4"/>
      <c r="N5" s="395" t="s">
        <v>424</v>
      </c>
      <c r="O5" s="397">
        <v>-20105968.010000002</v>
      </c>
      <c r="U5" s="362"/>
      <c r="AB5" s="361"/>
      <c r="AD5" s="362"/>
    </row>
    <row r="6" spans="1:33" x14ac:dyDescent="0.25">
      <c r="A6" s="353" t="s">
        <v>302</v>
      </c>
      <c r="B6" s="247">
        <v>-283457299.07999992</v>
      </c>
      <c r="C6" s="251">
        <f>B6-B86</f>
        <v>0</v>
      </c>
      <c r="F6" s="353" t="s">
        <v>302</v>
      </c>
      <c r="G6" s="247">
        <f>-[23]Control!$D$119+[23]Control!$E$119</f>
        <v>-207923384.89916667</v>
      </c>
      <c r="H6" s="4">
        <f>G6-G72</f>
        <v>0</v>
      </c>
      <c r="I6" s="356"/>
      <c r="K6" s="353" t="s">
        <v>409</v>
      </c>
      <c r="L6" s="4">
        <f>-[24]TB!$R$123+[24]TB!$S$123</f>
        <v>17959.490000000002</v>
      </c>
      <c r="N6" s="398" t="s">
        <v>426</v>
      </c>
      <c r="O6" s="399">
        <v>-81901833.269999996</v>
      </c>
    </row>
    <row r="7" spans="1:33" x14ac:dyDescent="0.25">
      <c r="A7" s="352" t="s">
        <v>303</v>
      </c>
      <c r="B7" s="240">
        <f>SUM(B2:B6)</f>
        <v>-376448824.8499999</v>
      </c>
      <c r="C7" s="354"/>
      <c r="F7" s="352" t="s">
        <v>303</v>
      </c>
      <c r="G7" s="4">
        <f>SUM(G2:G6)</f>
        <v>-261106303.51916668</v>
      </c>
      <c r="I7" s="356"/>
      <c r="J7" s="359"/>
      <c r="K7" s="353" t="s">
        <v>302</v>
      </c>
      <c r="L7" s="247">
        <f>[24]TB!$T$123+[24]TB!$U$123</f>
        <v>117095014.47</v>
      </c>
      <c r="T7" s="359"/>
    </row>
    <row r="8" spans="1:33" x14ac:dyDescent="0.25">
      <c r="C8"/>
      <c r="F8" s="4"/>
      <c r="G8" s="4">
        <f>G7-[23]TB!$V$4</f>
        <v>-261106303.51916668</v>
      </c>
      <c r="I8" s="356"/>
      <c r="K8" s="352" t="s">
        <v>303</v>
      </c>
      <c r="L8" s="4">
        <f>SUM(L2:L7)</f>
        <v>81887057.599999994</v>
      </c>
      <c r="AD8" s="362"/>
    </row>
    <row r="9" spans="1:33" x14ac:dyDescent="0.25">
      <c r="A9" s="245" t="s">
        <v>390</v>
      </c>
      <c r="B9" s="240">
        <f>SUM(B10:B39)</f>
        <v>-124970.55999999998</v>
      </c>
      <c r="C9" s="239" t="s">
        <v>390</v>
      </c>
      <c r="D9" s="240">
        <f>SUM(D11:D17)/2</f>
        <v>-124970.56000000001</v>
      </c>
      <c r="F9" s="353" t="s">
        <v>299</v>
      </c>
      <c r="G9" s="240">
        <f>SUM(G10:G42)</f>
        <v>-2361246.7499999995</v>
      </c>
      <c r="H9" s="253" t="s">
        <v>326</v>
      </c>
      <c r="I9" s="4" t="s">
        <v>401</v>
      </c>
      <c r="J9"/>
      <c r="AD9" s="362"/>
    </row>
    <row r="10" spans="1:33" x14ac:dyDescent="0.25">
      <c r="A10">
        <v>5020402000</v>
      </c>
      <c r="B10" s="4">
        <v>-8332.5400000000009</v>
      </c>
      <c r="C10"/>
      <c r="E10" s="356"/>
      <c r="F10" s="381">
        <v>5021199000</v>
      </c>
      <c r="G10" s="4">
        <v>-3510.48</v>
      </c>
      <c r="H10" s="374">
        <v>5010101001</v>
      </c>
      <c r="I10" s="247">
        <v>2900</v>
      </c>
      <c r="J10"/>
      <c r="K10" s="353" t="s">
        <v>299</v>
      </c>
      <c r="L10" s="388">
        <f>SUM(L11:L95)</f>
        <v>-6252875.0499999998</v>
      </c>
      <c r="M10" s="253" t="s">
        <v>326</v>
      </c>
      <c r="N10" t="s">
        <v>410</v>
      </c>
      <c r="O10"/>
      <c r="T10" s="359"/>
    </row>
    <row r="11" spans="1:33" x14ac:dyDescent="0.25">
      <c r="A11">
        <v>5020402000</v>
      </c>
      <c r="B11" s="4">
        <v>-8336.64</v>
      </c>
      <c r="C11" s="253" t="s">
        <v>326</v>
      </c>
      <c r="D11" s="4" t="s">
        <v>391</v>
      </c>
      <c r="E11" s="356"/>
      <c r="F11" s="381">
        <v>5021199000</v>
      </c>
      <c r="G11" s="4">
        <v>-33290</v>
      </c>
      <c r="H11" s="374">
        <v>5010102000</v>
      </c>
      <c r="I11" s="247">
        <v>-14138.559999999998</v>
      </c>
      <c r="J11"/>
      <c r="K11" s="360">
        <v>5021199000</v>
      </c>
      <c r="L11" s="356">
        <v>-16645</v>
      </c>
      <c r="M11" s="389">
        <v>5010101001</v>
      </c>
      <c r="N11" s="390">
        <v>2900</v>
      </c>
      <c r="O11"/>
      <c r="U11" s="362"/>
    </row>
    <row r="12" spans="1:33" x14ac:dyDescent="0.25">
      <c r="A12">
        <v>5020402000</v>
      </c>
      <c r="B12" s="4">
        <v>-4960.8</v>
      </c>
      <c r="C12" s="374">
        <v>5010101001</v>
      </c>
      <c r="D12" s="247">
        <v>-8491.6299999999992</v>
      </c>
      <c r="E12" s="356"/>
      <c r="F12" s="381">
        <v>5021499000</v>
      </c>
      <c r="G12" s="4">
        <v>-197716.24</v>
      </c>
      <c r="H12" s="374">
        <v>5020101000</v>
      </c>
      <c r="I12" s="247">
        <v>-27100</v>
      </c>
      <c r="J12"/>
      <c r="K12" s="360">
        <v>5021199000</v>
      </c>
      <c r="L12" s="356">
        <v>-5000</v>
      </c>
      <c r="M12" s="389">
        <v>5020101000</v>
      </c>
      <c r="N12" s="390">
        <v>-1523159.28</v>
      </c>
      <c r="O12"/>
      <c r="U12" s="362"/>
      <c r="AD12" s="362"/>
    </row>
    <row r="13" spans="1:33" x14ac:dyDescent="0.25">
      <c r="A13">
        <v>5020402000</v>
      </c>
      <c r="B13" s="4">
        <v>-27007.38</v>
      </c>
      <c r="C13" s="374">
        <v>5010102000</v>
      </c>
      <c r="D13" s="247">
        <v>-5214.46</v>
      </c>
      <c r="E13" s="356"/>
      <c r="F13" s="381">
        <v>5021499000</v>
      </c>
      <c r="G13" s="4">
        <v>-2349</v>
      </c>
      <c r="H13" s="374">
        <v>5020301000</v>
      </c>
      <c r="I13" s="247">
        <v>-299996.90000000002</v>
      </c>
      <c r="J13"/>
      <c r="K13" s="360">
        <v>5020101000</v>
      </c>
      <c r="L13" s="356">
        <v>-12050</v>
      </c>
      <c r="M13" s="389">
        <v>5020201000</v>
      </c>
      <c r="N13" s="390">
        <v>-468780</v>
      </c>
      <c r="O13"/>
      <c r="U13" s="362"/>
      <c r="AD13" s="362"/>
    </row>
    <row r="14" spans="1:33" x14ac:dyDescent="0.25">
      <c r="A14">
        <v>5021199000</v>
      </c>
      <c r="B14" s="4">
        <v>-8974.5499999999993</v>
      </c>
      <c r="C14" s="374">
        <v>5020402000</v>
      </c>
      <c r="D14" s="247">
        <v>-48637.36</v>
      </c>
      <c r="E14" s="356"/>
      <c r="F14" s="381">
        <v>5021499000</v>
      </c>
      <c r="G14" s="4">
        <v>-297364.39</v>
      </c>
      <c r="H14" s="374">
        <v>5020399000</v>
      </c>
      <c r="I14" s="247">
        <v>-8353.17</v>
      </c>
      <c r="J14"/>
      <c r="K14" s="360">
        <v>5020101000</v>
      </c>
      <c r="L14" s="356">
        <v>-430</v>
      </c>
      <c r="M14" s="389">
        <v>5020307000</v>
      </c>
      <c r="N14" s="390">
        <v>-34</v>
      </c>
      <c r="O14"/>
      <c r="AD14" s="362"/>
    </row>
    <row r="15" spans="1:33" x14ac:dyDescent="0.25">
      <c r="A15">
        <v>5021199000</v>
      </c>
      <c r="B15" s="4">
        <v>-4527.53</v>
      </c>
      <c r="C15" s="374">
        <v>5020502002</v>
      </c>
      <c r="D15" s="247">
        <v>-1698.93</v>
      </c>
      <c r="E15" s="356"/>
      <c r="F15" s="381">
        <v>5021499000</v>
      </c>
      <c r="G15" s="4">
        <v>-397533.75</v>
      </c>
      <c r="H15" s="374">
        <v>5020402000</v>
      </c>
      <c r="I15" s="247">
        <v>-6731.24</v>
      </c>
      <c r="J15"/>
      <c r="K15" s="360">
        <v>5020101000</v>
      </c>
      <c r="L15" s="356">
        <v>-1371</v>
      </c>
      <c r="M15" s="389">
        <v>5020399000</v>
      </c>
      <c r="N15" s="390">
        <v>-5655</v>
      </c>
      <c r="O15"/>
      <c r="P15"/>
      <c r="Q15"/>
      <c r="T15" s="359"/>
    </row>
    <row r="16" spans="1:33" x14ac:dyDescent="0.25">
      <c r="A16">
        <v>5021199000</v>
      </c>
      <c r="B16" s="4">
        <v>-1282.26</v>
      </c>
      <c r="C16" s="374">
        <v>5021199000</v>
      </c>
      <c r="D16" s="247">
        <v>-60928.180000000015</v>
      </c>
      <c r="E16" s="356"/>
      <c r="F16" s="381">
        <v>5021499000</v>
      </c>
      <c r="G16" s="4">
        <v>-214996.75</v>
      </c>
      <c r="H16" s="374">
        <v>5021199000</v>
      </c>
      <c r="I16" s="247">
        <v>-86704.389999999985</v>
      </c>
      <c r="J16"/>
      <c r="K16" s="360">
        <v>5020101000</v>
      </c>
      <c r="L16" s="356">
        <v>-3162</v>
      </c>
      <c r="M16" s="389">
        <v>5020502001</v>
      </c>
      <c r="N16" s="390">
        <v>-2700</v>
      </c>
      <c r="O16"/>
      <c r="U16" s="362"/>
    </row>
    <row r="17" spans="1:33" x14ac:dyDescent="0.25">
      <c r="A17">
        <v>5021199000</v>
      </c>
      <c r="B17" s="4">
        <v>-396.56</v>
      </c>
      <c r="C17" s="254" t="s">
        <v>327</v>
      </c>
      <c r="D17" s="4">
        <v>-124970.56000000001</v>
      </c>
      <c r="E17" s="356"/>
      <c r="F17" s="381">
        <v>5021499000</v>
      </c>
      <c r="G17" s="4">
        <v>-12061.5</v>
      </c>
      <c r="H17" s="374">
        <v>5021203000</v>
      </c>
      <c r="I17" s="247">
        <v>-528936</v>
      </c>
      <c r="J17"/>
      <c r="K17" s="360">
        <v>5020101000</v>
      </c>
      <c r="L17" s="356">
        <v>-2054</v>
      </c>
      <c r="M17" s="389">
        <v>5021199000</v>
      </c>
      <c r="N17" s="390">
        <v>-49700.270000000004</v>
      </c>
      <c r="O17"/>
      <c r="P17"/>
      <c r="Q17"/>
      <c r="R17"/>
      <c r="AB17" s="361"/>
      <c r="AC17" s="359"/>
      <c r="AD17" s="362"/>
    </row>
    <row r="18" spans="1:33" x14ac:dyDescent="0.25">
      <c r="A18">
        <v>5021199000</v>
      </c>
      <c r="B18" s="4">
        <v>-6094.31</v>
      </c>
      <c r="C18"/>
      <c r="E18" s="356"/>
      <c r="F18" s="381">
        <v>5021499000</v>
      </c>
      <c r="G18" s="4">
        <v>-80113.33</v>
      </c>
      <c r="H18" s="374">
        <v>5021305003</v>
      </c>
      <c r="I18" s="247">
        <v>-94750</v>
      </c>
      <c r="J18"/>
      <c r="K18" s="360">
        <v>5020101000</v>
      </c>
      <c r="L18" s="356">
        <v>-6746</v>
      </c>
      <c r="M18" s="389">
        <v>5021499000</v>
      </c>
      <c r="N18" s="390">
        <v>-3783358.5</v>
      </c>
      <c r="O18"/>
      <c r="P18" s="254"/>
      <c r="Q18" s="354"/>
      <c r="R18"/>
    </row>
    <row r="19" spans="1:33" x14ac:dyDescent="0.25">
      <c r="A19">
        <v>5021199000</v>
      </c>
      <c r="B19" s="4">
        <v>-2881.42</v>
      </c>
      <c r="C19"/>
      <c r="F19" s="382">
        <v>5021499000</v>
      </c>
      <c r="G19" s="4">
        <v>-67870.600000000006</v>
      </c>
      <c r="H19" s="374">
        <v>5021499000</v>
      </c>
      <c r="I19" s="247">
        <v>-1270005.56</v>
      </c>
      <c r="J19"/>
      <c r="K19" s="360">
        <v>5020101000</v>
      </c>
      <c r="L19" s="356">
        <v>-6668</v>
      </c>
      <c r="M19" s="389">
        <v>5029903000</v>
      </c>
      <c r="N19" s="390">
        <v>-129585</v>
      </c>
      <c r="O19"/>
      <c r="P19" s="254"/>
      <c r="Q19" s="354"/>
      <c r="R19"/>
      <c r="T19" s="359"/>
      <c r="V19" s="356"/>
    </row>
    <row r="20" spans="1:33" x14ac:dyDescent="0.25">
      <c r="A20">
        <v>5021199000</v>
      </c>
      <c r="B20" s="4">
        <v>-5784.63</v>
      </c>
      <c r="C20"/>
      <c r="F20" s="382">
        <v>5021305003</v>
      </c>
      <c r="G20" s="4">
        <v>-94750</v>
      </c>
      <c r="H20" s="374">
        <v>5029999099</v>
      </c>
      <c r="I20" s="247">
        <v>-27430.93</v>
      </c>
      <c r="J20"/>
      <c r="K20" s="363">
        <v>5020101000</v>
      </c>
      <c r="L20" s="356">
        <v>-3100</v>
      </c>
      <c r="M20" s="389">
        <v>5029999099</v>
      </c>
      <c r="N20" s="390">
        <v>-292803</v>
      </c>
      <c r="O20"/>
      <c r="P20" s="254"/>
      <c r="Q20" s="354"/>
      <c r="R20"/>
      <c r="T20" s="359"/>
      <c r="V20" s="356"/>
      <c r="AB20" s="357"/>
      <c r="AC20" s="355"/>
      <c r="AD20" s="358"/>
    </row>
    <row r="21" spans="1:33" x14ac:dyDescent="0.25">
      <c r="A21">
        <v>5021199000</v>
      </c>
      <c r="B21" s="4">
        <v>-4247.7299999999996</v>
      </c>
      <c r="C21"/>
      <c r="F21" s="382">
        <v>5021203000</v>
      </c>
      <c r="G21" s="4">
        <v>-528936</v>
      </c>
      <c r="H21" s="254" t="s">
        <v>327</v>
      </c>
      <c r="I21" s="4">
        <v>-2361246.7500000005</v>
      </c>
      <c r="J21"/>
      <c r="K21" s="363">
        <v>5021199000</v>
      </c>
      <c r="L21" s="356">
        <v>-33848</v>
      </c>
      <c r="M21" s="254" t="s">
        <v>327</v>
      </c>
      <c r="N21" s="251">
        <v>-6252875.0499999998</v>
      </c>
      <c r="O21"/>
      <c r="P21" s="254"/>
      <c r="Q21" s="354"/>
      <c r="R21"/>
      <c r="T21" s="359"/>
      <c r="U21" s="361"/>
      <c r="V21" s="356"/>
      <c r="AC21" s="359"/>
      <c r="AD21" s="359"/>
    </row>
    <row r="22" spans="1:33" x14ac:dyDescent="0.25">
      <c r="A22">
        <v>5021199000</v>
      </c>
      <c r="B22" s="4">
        <v>-2011.58</v>
      </c>
      <c r="C22"/>
      <c r="F22" s="382">
        <v>5021199000</v>
      </c>
      <c r="G22" s="4">
        <v>-36073.699999999997</v>
      </c>
      <c r="H22"/>
      <c r="I22" s="4">
        <f>GETPIVOTDATA("-2,361,246.75 ",$H$9)-G9</f>
        <v>0</v>
      </c>
      <c r="J22"/>
      <c r="K22" s="363">
        <v>5021499000</v>
      </c>
      <c r="L22" s="356">
        <v>-1404000</v>
      </c>
      <c r="M22"/>
      <c r="N22"/>
      <c r="O22"/>
      <c r="P22" s="254"/>
      <c r="Q22" s="354"/>
      <c r="R22"/>
      <c r="V22" s="356"/>
      <c r="AC22" s="359"/>
      <c r="AD22" s="356"/>
    </row>
    <row r="23" spans="1:33" x14ac:dyDescent="0.25">
      <c r="A23">
        <v>5021199000</v>
      </c>
      <c r="B23" s="4">
        <v>-171.73</v>
      </c>
      <c r="C23"/>
      <c r="F23" s="382">
        <v>5021199000</v>
      </c>
      <c r="G23" s="4">
        <v>-3240</v>
      </c>
      <c r="H23"/>
      <c r="I23" s="4"/>
      <c r="J23"/>
      <c r="K23" s="363">
        <v>5020502001</v>
      </c>
      <c r="L23" s="356">
        <v>-2700</v>
      </c>
      <c r="M23"/>
      <c r="N23"/>
      <c r="O23"/>
      <c r="P23" s="254"/>
      <c r="Q23" s="354"/>
      <c r="R23"/>
      <c r="V23" s="356"/>
      <c r="AC23" s="359"/>
      <c r="AD23" s="359"/>
    </row>
    <row r="24" spans="1:33" s="366" customFormat="1" x14ac:dyDescent="0.25">
      <c r="A24" s="244">
        <v>5010102000</v>
      </c>
      <c r="B24" s="255">
        <v>-5396.26</v>
      </c>
      <c r="C24" s="4"/>
      <c r="D24" s="255"/>
      <c r="E24" s="4"/>
      <c r="F24" s="382">
        <v>5020101000</v>
      </c>
      <c r="G24" s="4">
        <v>-27100</v>
      </c>
      <c r="H24"/>
      <c r="I24" s="4"/>
      <c r="J24"/>
      <c r="K24" s="363">
        <v>5029999099</v>
      </c>
      <c r="L24" s="356">
        <v>-83200</v>
      </c>
      <c r="M24"/>
      <c r="P24" s="254"/>
      <c r="Q24" s="354"/>
      <c r="R24"/>
      <c r="S24" s="367"/>
      <c r="T24" s="364"/>
      <c r="V24" s="356"/>
      <c r="AB24" s="361"/>
      <c r="AC24" s="359"/>
      <c r="AD24" s="362"/>
      <c r="AG24" s="364"/>
    </row>
    <row r="25" spans="1:33" x14ac:dyDescent="0.25">
      <c r="A25">
        <v>5010101001</v>
      </c>
      <c r="B25" s="4">
        <v>-11391.63</v>
      </c>
      <c r="F25" s="382">
        <v>5021199000</v>
      </c>
      <c r="G25" s="4">
        <v>-6111.9</v>
      </c>
      <c r="H25"/>
      <c r="I25" s="4"/>
      <c r="J25"/>
      <c r="K25" s="365">
        <v>5020201000</v>
      </c>
      <c r="L25" s="356">
        <v>-72000</v>
      </c>
      <c r="M25"/>
      <c r="N25"/>
      <c r="O25"/>
      <c r="P25" s="254"/>
      <c r="Q25" s="354"/>
      <c r="R25"/>
      <c r="V25" s="356"/>
      <c r="AB25" s="361"/>
      <c r="AC25" s="359"/>
      <c r="AD25" s="362"/>
    </row>
    <row r="26" spans="1:33" x14ac:dyDescent="0.25">
      <c r="A26">
        <v>5021199000</v>
      </c>
      <c r="B26" s="4">
        <v>-16613.79</v>
      </c>
      <c r="F26" s="382">
        <v>5020402000</v>
      </c>
      <c r="G26" s="4">
        <v>-6731.24</v>
      </c>
      <c r="H26"/>
      <c r="I26" s="4"/>
      <c r="J26"/>
      <c r="K26" s="363">
        <v>5020201000</v>
      </c>
      <c r="L26" s="356">
        <v>-65850</v>
      </c>
      <c r="M26"/>
      <c r="N26"/>
      <c r="O26"/>
      <c r="P26" s="254"/>
      <c r="Q26" s="354"/>
      <c r="R26"/>
      <c r="V26" s="356"/>
    </row>
    <row r="27" spans="1:33" x14ac:dyDescent="0.25">
      <c r="A27">
        <v>5021199000</v>
      </c>
      <c r="B27" s="4">
        <v>-1008.16</v>
      </c>
      <c r="F27" s="382">
        <v>5021199000</v>
      </c>
      <c r="G27" s="4">
        <v>-1013.95</v>
      </c>
      <c r="K27" s="363">
        <v>5020399000</v>
      </c>
      <c r="L27" s="356">
        <v>-5655</v>
      </c>
      <c r="M27"/>
      <c r="N27"/>
      <c r="O27"/>
      <c r="P27" s="254"/>
      <c r="Q27" s="354"/>
      <c r="R27"/>
      <c r="V27" s="356"/>
    </row>
    <row r="28" spans="1:33" x14ac:dyDescent="0.25">
      <c r="A28">
        <v>5021199000</v>
      </c>
      <c r="B28" s="4">
        <v>-5000</v>
      </c>
      <c r="F28" s="382">
        <v>5021199000</v>
      </c>
      <c r="G28" s="4">
        <v>-3464.36</v>
      </c>
      <c r="K28" s="363">
        <v>5029999099</v>
      </c>
      <c r="L28" s="356">
        <v>-209600</v>
      </c>
      <c r="M28"/>
      <c r="N28"/>
      <c r="O28"/>
      <c r="P28" s="254"/>
      <c r="Q28" s="354"/>
      <c r="R28"/>
      <c r="V28" s="356"/>
      <c r="AC28" s="359"/>
      <c r="AD28" s="362"/>
      <c r="AF28" s="362"/>
    </row>
    <row r="29" spans="1:33" x14ac:dyDescent="0.25">
      <c r="A29">
        <v>5021199000</v>
      </c>
      <c r="B29" s="4">
        <v>-5000</v>
      </c>
      <c r="F29" s="382">
        <v>5029999099</v>
      </c>
      <c r="G29" s="4">
        <v>-3051.93</v>
      </c>
      <c r="K29" s="363">
        <v>5020201000</v>
      </c>
      <c r="L29" s="356">
        <v>-10400</v>
      </c>
      <c r="M29" s="362"/>
      <c r="P29"/>
      <c r="Q29"/>
      <c r="R29"/>
      <c r="AC29" s="359"/>
      <c r="AD29" s="362"/>
    </row>
    <row r="30" spans="1:33" x14ac:dyDescent="0.25">
      <c r="A30">
        <v>5020502002</v>
      </c>
      <c r="B30" s="4">
        <v>-1698.93</v>
      </c>
      <c r="F30" s="382">
        <v>5020301000</v>
      </c>
      <c r="G30" s="4">
        <v>-10232.76</v>
      </c>
      <c r="K30" s="363">
        <v>5020201000</v>
      </c>
      <c r="L30" s="356">
        <v>-129600</v>
      </c>
      <c r="M30" s="362"/>
      <c r="P30"/>
      <c r="Q30"/>
      <c r="R30"/>
      <c r="AD30" s="362"/>
    </row>
    <row r="31" spans="1:33" x14ac:dyDescent="0.25">
      <c r="A31">
        <v>5010102000</v>
      </c>
      <c r="B31" s="4">
        <v>181.8</v>
      </c>
      <c r="F31" s="382">
        <v>5020301000</v>
      </c>
      <c r="G31" s="4">
        <v>-63600</v>
      </c>
      <c r="K31" s="363">
        <v>5021499000</v>
      </c>
      <c r="L31" s="356">
        <v>-150000</v>
      </c>
      <c r="M31" s="362"/>
      <c r="P31"/>
      <c r="Q31"/>
      <c r="R31"/>
      <c r="AC31" s="359"/>
      <c r="AD31" s="362"/>
    </row>
    <row r="32" spans="1:33" x14ac:dyDescent="0.25">
      <c r="A32">
        <v>5010101001</v>
      </c>
      <c r="B32" s="4">
        <v>2900</v>
      </c>
      <c r="F32" s="382">
        <v>5020301000</v>
      </c>
      <c r="G32" s="4">
        <v>-75714.28</v>
      </c>
      <c r="K32" s="363">
        <v>5021499000</v>
      </c>
      <c r="L32" s="356">
        <v>-40000</v>
      </c>
      <c r="M32" s="362"/>
      <c r="P32"/>
      <c r="Q32"/>
      <c r="R32"/>
    </row>
    <row r="33" spans="1:31" x14ac:dyDescent="0.25">
      <c r="A33">
        <v>5021199000</v>
      </c>
      <c r="B33" s="4">
        <v>142.66</v>
      </c>
      <c r="F33" s="382">
        <v>5020301000</v>
      </c>
      <c r="G33" s="4">
        <v>-133414.14000000001</v>
      </c>
      <c r="K33" s="360">
        <v>5021499000</v>
      </c>
      <c r="L33" s="356">
        <v>-729621.5</v>
      </c>
      <c r="M33" s="362"/>
      <c r="P33"/>
      <c r="Q33"/>
      <c r="R33"/>
      <c r="AC33" s="359"/>
      <c r="AD33" s="362"/>
    </row>
    <row r="34" spans="1:31" x14ac:dyDescent="0.25">
      <c r="A34">
        <v>5021199000</v>
      </c>
      <c r="B34" s="4">
        <v>250.6</v>
      </c>
      <c r="F34" s="382">
        <v>5020399000</v>
      </c>
      <c r="G34" s="4">
        <v>-8353.17</v>
      </c>
      <c r="K34" s="360">
        <v>5029903000</v>
      </c>
      <c r="L34" s="356">
        <v>-52100</v>
      </c>
      <c r="M34" s="362"/>
      <c r="P34"/>
      <c r="Q34"/>
      <c r="R34"/>
      <c r="AC34" s="359"/>
      <c r="AD34" s="362"/>
    </row>
    <row r="35" spans="1:31" x14ac:dyDescent="0.25">
      <c r="A35">
        <v>5021199000</v>
      </c>
      <c r="B35" s="4">
        <v>795.7</v>
      </c>
      <c r="F35" s="382">
        <v>5020301000</v>
      </c>
      <c r="G35" s="4">
        <v>-17035.72</v>
      </c>
      <c r="K35" s="360">
        <v>5021499000</v>
      </c>
      <c r="L35" s="356">
        <v>-90137</v>
      </c>
      <c r="M35" s="362"/>
      <c r="AC35" s="359"/>
      <c r="AD35" s="362"/>
    </row>
    <row r="36" spans="1:31" x14ac:dyDescent="0.25">
      <c r="A36">
        <v>5021199000</v>
      </c>
      <c r="B36" s="4">
        <v>101.25</v>
      </c>
      <c r="F36" s="382">
        <v>5010102000</v>
      </c>
      <c r="G36" s="4">
        <v>-14930.3</v>
      </c>
      <c r="K36" s="360">
        <v>5029903000</v>
      </c>
      <c r="L36" s="356">
        <v>-685</v>
      </c>
      <c r="M36" s="362"/>
      <c r="AC36" s="359"/>
    </row>
    <row r="37" spans="1:31" x14ac:dyDescent="0.25">
      <c r="A37">
        <v>5021199000</v>
      </c>
      <c r="B37" s="4">
        <v>844.02</v>
      </c>
      <c r="F37" s="382">
        <v>5029999099</v>
      </c>
      <c r="G37" s="4">
        <v>-24379</v>
      </c>
      <c r="K37" s="360">
        <v>5021499000</v>
      </c>
      <c r="L37" s="356">
        <v>-104000</v>
      </c>
      <c r="M37" s="362"/>
    </row>
    <row r="38" spans="1:31" x14ac:dyDescent="0.25">
      <c r="A38">
        <v>5021199000</v>
      </c>
      <c r="B38" s="4">
        <v>250.31</v>
      </c>
      <c r="F38" s="382">
        <v>5010102000</v>
      </c>
      <c r="G38" s="4">
        <v>-789.76</v>
      </c>
      <c r="K38" s="360">
        <v>5020307000</v>
      </c>
      <c r="L38" s="356">
        <v>-34</v>
      </c>
      <c r="M38" s="362"/>
      <c r="AB38" s="361"/>
      <c r="AC38" s="359"/>
      <c r="AD38" s="362"/>
      <c r="AE38" s="362"/>
    </row>
    <row r="39" spans="1:31" x14ac:dyDescent="0.25">
      <c r="A39">
        <v>5021199000</v>
      </c>
      <c r="B39" s="4">
        <v>681.53</v>
      </c>
      <c r="F39" s="382">
        <v>5010102000</v>
      </c>
      <c r="G39" s="4">
        <v>-4818.5</v>
      </c>
      <c r="K39" s="360">
        <v>5021499000</v>
      </c>
      <c r="L39" s="356">
        <v>-970600</v>
      </c>
      <c r="M39" s="362"/>
    </row>
    <row r="40" spans="1:31" x14ac:dyDescent="0.25">
      <c r="F40" s="382">
        <v>5010102000</v>
      </c>
      <c r="G40" s="4">
        <v>3200</v>
      </c>
      <c r="K40" s="360">
        <v>5021499000</v>
      </c>
      <c r="L40" s="356">
        <v>-20000</v>
      </c>
      <c r="M40" s="362"/>
      <c r="AB40" s="357"/>
      <c r="AC40" s="355"/>
      <c r="AD40" s="368"/>
    </row>
    <row r="41" spans="1:31" x14ac:dyDescent="0.25">
      <c r="C41" s="352" t="s">
        <v>300</v>
      </c>
      <c r="D41" s="4">
        <f>SUM(D42:D49)/2</f>
        <v>-783135.30999999994</v>
      </c>
      <c r="E41" s="4">
        <f>D41-B3</f>
        <v>0</v>
      </c>
      <c r="F41" s="382">
        <v>5010101001</v>
      </c>
      <c r="G41" s="4">
        <v>2900</v>
      </c>
      <c r="K41" s="360">
        <v>5020101000</v>
      </c>
      <c r="L41" s="356">
        <v>-3662</v>
      </c>
      <c r="M41" s="362"/>
      <c r="AC41" s="359"/>
      <c r="AD41" s="359"/>
    </row>
    <row r="42" spans="1:31" x14ac:dyDescent="0.25">
      <c r="A42" s="352" t="s">
        <v>300</v>
      </c>
      <c r="B42" s="240">
        <f>SUM(B43:B84)</f>
        <v>-783135.31</v>
      </c>
      <c r="C42" s="253" t="s">
        <v>326</v>
      </c>
      <c r="D42" s="4" t="s">
        <v>392</v>
      </c>
      <c r="F42" s="382">
        <v>5010102000</v>
      </c>
      <c r="G42" s="4">
        <v>3200</v>
      </c>
      <c r="K42" s="360">
        <v>5020101000</v>
      </c>
      <c r="L42" s="356">
        <v>-35800</v>
      </c>
      <c r="M42" s="362"/>
      <c r="AC42" s="359"/>
    </row>
    <row r="43" spans="1:31" x14ac:dyDescent="0.25">
      <c r="A43">
        <v>5020401000</v>
      </c>
      <c r="B43" s="4">
        <v>-2000</v>
      </c>
      <c r="C43" s="374">
        <v>5010102000</v>
      </c>
      <c r="D43" s="247">
        <v>-199694.06</v>
      </c>
      <c r="K43" s="360">
        <v>5020101000</v>
      </c>
      <c r="L43" s="356">
        <v>-26000</v>
      </c>
      <c r="M43" s="362"/>
      <c r="AC43" s="359"/>
      <c r="AD43" s="359"/>
    </row>
    <row r="44" spans="1:31" x14ac:dyDescent="0.25">
      <c r="A44">
        <v>5010102000</v>
      </c>
      <c r="B44" s="4">
        <v>-100</v>
      </c>
      <c r="C44" s="374">
        <v>5010302001</v>
      </c>
      <c r="D44" s="247">
        <v>-12700</v>
      </c>
      <c r="F44" s="353" t="s">
        <v>300</v>
      </c>
      <c r="G44" s="240">
        <f>SUM(G45:G70)</f>
        <v>-956139.58000000007</v>
      </c>
      <c r="H44" s="253" t="s">
        <v>326</v>
      </c>
      <c r="I44" s="251" t="s">
        <v>402</v>
      </c>
      <c r="J44"/>
      <c r="K44" s="360">
        <v>5020101000</v>
      </c>
      <c r="L44" s="356">
        <v>-32400</v>
      </c>
      <c r="M44" s="362"/>
      <c r="AB44" s="361"/>
      <c r="AC44" s="359"/>
      <c r="AD44" s="362"/>
    </row>
    <row r="45" spans="1:31" x14ac:dyDescent="0.25">
      <c r="A45">
        <v>5010102000</v>
      </c>
      <c r="B45" s="4">
        <v>-200</v>
      </c>
      <c r="C45" s="374">
        <v>5020401000</v>
      </c>
      <c r="D45" s="247">
        <v>-2400</v>
      </c>
      <c r="F45" s="382">
        <v>5021199000</v>
      </c>
      <c r="G45" s="4">
        <v>16662.34</v>
      </c>
      <c r="H45" s="374">
        <v>5010102000</v>
      </c>
      <c r="I45" s="250">
        <v>-226593.24999999997</v>
      </c>
      <c r="J45"/>
      <c r="K45" s="360">
        <v>5020101000</v>
      </c>
      <c r="L45" s="356">
        <v>-45600</v>
      </c>
      <c r="M45" s="362"/>
      <c r="AB45" s="361"/>
      <c r="AC45" s="359"/>
      <c r="AD45" s="362"/>
    </row>
    <row r="46" spans="1:31" x14ac:dyDescent="0.25">
      <c r="A46">
        <v>5010102000</v>
      </c>
      <c r="B46" s="4">
        <v>-100</v>
      </c>
      <c r="C46" s="374">
        <v>5021199000</v>
      </c>
      <c r="D46" s="247">
        <v>-45836.52</v>
      </c>
      <c r="F46" s="382">
        <v>5010102000</v>
      </c>
      <c r="G46" s="4">
        <v>-114334.86</v>
      </c>
      <c r="H46" s="374">
        <v>5010299011</v>
      </c>
      <c r="I46" s="250">
        <v>-115764.29000000001</v>
      </c>
      <c r="J46"/>
      <c r="K46" s="360">
        <v>5020101000</v>
      </c>
      <c r="L46" s="356">
        <v>-16075</v>
      </c>
      <c r="M46" s="362"/>
    </row>
    <row r="47" spans="1:31" x14ac:dyDescent="0.25">
      <c r="A47">
        <v>5010102000</v>
      </c>
      <c r="B47" s="4">
        <v>-100</v>
      </c>
      <c r="C47" s="374">
        <v>5021203000</v>
      </c>
      <c r="D47" s="247">
        <v>-532279.12</v>
      </c>
      <c r="F47" s="382">
        <v>5010102000</v>
      </c>
      <c r="G47" s="4">
        <v>-5000</v>
      </c>
      <c r="H47" s="374">
        <v>5010299014</v>
      </c>
      <c r="I47" s="250">
        <v>-6049.01</v>
      </c>
      <c r="J47"/>
      <c r="K47" s="360">
        <v>5020101000</v>
      </c>
      <c r="L47" s="356">
        <v>-4496</v>
      </c>
      <c r="M47" s="362"/>
      <c r="AB47" s="361"/>
    </row>
    <row r="48" spans="1:31" x14ac:dyDescent="0.25">
      <c r="A48">
        <v>5010102000</v>
      </c>
      <c r="B48" s="4">
        <v>-100</v>
      </c>
      <c r="C48" s="374">
        <v>5021601000</v>
      </c>
      <c r="D48" s="247">
        <v>9774.39</v>
      </c>
      <c r="F48" s="382">
        <v>5010299011</v>
      </c>
      <c r="G48" s="4">
        <v>-500</v>
      </c>
      <c r="H48" s="374">
        <v>5010499099</v>
      </c>
      <c r="I48" s="250">
        <v>-76000</v>
      </c>
      <c r="J48"/>
      <c r="K48" s="360">
        <v>5020101000</v>
      </c>
      <c r="L48" s="356">
        <v>-16241</v>
      </c>
      <c r="M48" s="362"/>
      <c r="AD48" s="362"/>
    </row>
    <row r="49" spans="1:30" x14ac:dyDescent="0.25">
      <c r="A49">
        <v>5010102000</v>
      </c>
      <c r="B49" s="4">
        <v>-80600</v>
      </c>
      <c r="C49" s="254" t="s">
        <v>327</v>
      </c>
      <c r="D49" s="4">
        <v>-783135.30999999994</v>
      </c>
      <c r="F49" s="382">
        <v>5010102000</v>
      </c>
      <c r="G49" s="4">
        <v>-1000</v>
      </c>
      <c r="H49" s="374">
        <v>5021199000</v>
      </c>
      <c r="I49" s="250">
        <v>5616.8899999999994</v>
      </c>
      <c r="J49"/>
      <c r="K49" s="360">
        <v>5020101000</v>
      </c>
      <c r="L49" s="356">
        <v>-24150</v>
      </c>
      <c r="M49" s="362"/>
      <c r="AD49" s="362"/>
    </row>
    <row r="50" spans="1:30" x14ac:dyDescent="0.25">
      <c r="A50">
        <v>5010302001</v>
      </c>
      <c r="B50" s="4">
        <v>-10100</v>
      </c>
      <c r="C50"/>
      <c r="F50" s="382">
        <v>5010102000</v>
      </c>
      <c r="G50" s="4">
        <v>-5000</v>
      </c>
      <c r="H50" s="374">
        <v>5021203000</v>
      </c>
      <c r="I50" s="250">
        <v>-537349.92000000004</v>
      </c>
      <c r="J50"/>
      <c r="K50" s="360">
        <v>5020101000</v>
      </c>
      <c r="L50" s="356">
        <v>-7886</v>
      </c>
      <c r="M50" s="362"/>
    </row>
    <row r="51" spans="1:30" x14ac:dyDescent="0.25">
      <c r="A51">
        <v>5010302001</v>
      </c>
      <c r="B51" s="4">
        <v>-2600</v>
      </c>
      <c r="C51"/>
      <c r="F51" s="382">
        <v>5010299011</v>
      </c>
      <c r="G51" s="4">
        <v>-29650</v>
      </c>
      <c r="H51" s="254" t="s">
        <v>327</v>
      </c>
      <c r="I51" s="251">
        <v>-956139.58000000007</v>
      </c>
      <c r="J51"/>
      <c r="K51" s="360">
        <v>5020101000</v>
      </c>
      <c r="L51" s="356">
        <v>-22191</v>
      </c>
      <c r="M51" s="362"/>
    </row>
    <row r="52" spans="1:30" x14ac:dyDescent="0.25">
      <c r="A52">
        <v>5010102000</v>
      </c>
      <c r="B52" s="4">
        <v>-300</v>
      </c>
      <c r="C52"/>
      <c r="F52" s="382">
        <v>5010299011</v>
      </c>
      <c r="G52" s="4">
        <v>-25614.29</v>
      </c>
      <c r="H52"/>
      <c r="I52" s="251">
        <f>GETPIVOTDATA("-956,139.58 ",$H$44)-G3</f>
        <v>0</v>
      </c>
      <c r="J52"/>
      <c r="K52" s="360">
        <v>5020101000</v>
      </c>
      <c r="L52" s="356">
        <v>-12533</v>
      </c>
      <c r="M52" s="362"/>
      <c r="AB52" s="361"/>
    </row>
    <row r="53" spans="1:30" x14ac:dyDescent="0.25">
      <c r="A53">
        <v>5010102000</v>
      </c>
      <c r="B53" s="4">
        <v>-100</v>
      </c>
      <c r="C53"/>
      <c r="F53" s="382">
        <v>5021199000</v>
      </c>
      <c r="G53" s="4">
        <v>-11045.45</v>
      </c>
      <c r="H53"/>
      <c r="I53"/>
      <c r="J53"/>
      <c r="K53" s="360">
        <v>5020201000</v>
      </c>
      <c r="L53" s="356">
        <v>-188005</v>
      </c>
      <c r="M53" s="362"/>
    </row>
    <row r="54" spans="1:30" x14ac:dyDescent="0.25">
      <c r="A54">
        <v>5010102000</v>
      </c>
      <c r="B54" s="4">
        <v>-2500</v>
      </c>
      <c r="C54"/>
      <c r="F54" s="382">
        <v>5010299014</v>
      </c>
      <c r="G54" s="4">
        <v>-6049.01</v>
      </c>
      <c r="H54"/>
      <c r="I54"/>
      <c r="J54"/>
      <c r="K54" s="360">
        <v>5029999099</v>
      </c>
      <c r="L54" s="356">
        <v>-3</v>
      </c>
      <c r="M54" s="362"/>
    </row>
    <row r="55" spans="1:30" x14ac:dyDescent="0.25">
      <c r="A55">
        <v>5010102000</v>
      </c>
      <c r="B55" s="4">
        <v>-200</v>
      </c>
      <c r="C55"/>
      <c r="F55" s="382">
        <v>5010102000</v>
      </c>
      <c r="G55" s="4">
        <v>-1710.77</v>
      </c>
      <c r="H55"/>
      <c r="I55"/>
      <c r="J55"/>
      <c r="K55" s="360">
        <v>5021499000</v>
      </c>
      <c r="L55" s="356">
        <v>-40000</v>
      </c>
      <c r="M55" s="362"/>
    </row>
    <row r="56" spans="1:30" x14ac:dyDescent="0.25">
      <c r="A56">
        <v>5010102000</v>
      </c>
      <c r="B56" s="4">
        <v>-4700</v>
      </c>
      <c r="C56"/>
      <c r="F56" s="382">
        <v>5010102000</v>
      </c>
      <c r="G56" s="4">
        <v>-25500.21</v>
      </c>
      <c r="H56"/>
      <c r="I56"/>
      <c r="J56"/>
      <c r="K56" s="360">
        <v>5021499000</v>
      </c>
      <c r="L56" s="356">
        <v>-10000</v>
      </c>
      <c r="M56" s="362"/>
    </row>
    <row r="57" spans="1:30" x14ac:dyDescent="0.25">
      <c r="A57">
        <v>5010102000</v>
      </c>
      <c r="B57" s="4">
        <v>-600</v>
      </c>
      <c r="C57"/>
      <c r="F57" s="382">
        <v>5010102000</v>
      </c>
      <c r="G57" s="4">
        <v>-3179.28</v>
      </c>
      <c r="H57"/>
      <c r="I57"/>
      <c r="J57"/>
      <c r="K57" s="360">
        <v>5020101000</v>
      </c>
      <c r="L57" s="356">
        <v>-39485</v>
      </c>
      <c r="M57" s="362"/>
    </row>
    <row r="58" spans="1:30" x14ac:dyDescent="0.25">
      <c r="A58">
        <v>5010102000</v>
      </c>
      <c r="B58" s="4">
        <v>-100</v>
      </c>
      <c r="C58"/>
      <c r="F58" s="382">
        <v>5010102000</v>
      </c>
      <c r="G58" s="4">
        <v>-2368.02</v>
      </c>
      <c r="H58"/>
      <c r="I58"/>
      <c r="J58"/>
      <c r="K58" s="360">
        <v>5020101000</v>
      </c>
      <c r="L58" s="356">
        <v>-162</v>
      </c>
      <c r="M58" s="362"/>
      <c r="AD58" s="356"/>
    </row>
    <row r="59" spans="1:30" x14ac:dyDescent="0.25">
      <c r="A59">
        <v>5010102000</v>
      </c>
      <c r="B59" s="4">
        <v>-700</v>
      </c>
      <c r="C59"/>
      <c r="F59" s="382">
        <v>5010102000</v>
      </c>
      <c r="G59" s="4">
        <v>-11660</v>
      </c>
      <c r="H59"/>
      <c r="I59"/>
      <c r="J59"/>
      <c r="K59" s="360">
        <v>5020101000</v>
      </c>
      <c r="L59" s="356">
        <v>-4350</v>
      </c>
      <c r="M59" s="362"/>
    </row>
    <row r="60" spans="1:30" x14ac:dyDescent="0.25">
      <c r="A60">
        <v>5010102000</v>
      </c>
      <c r="B60" s="4">
        <v>-100</v>
      </c>
      <c r="F60" s="382">
        <v>5010102000</v>
      </c>
      <c r="G60" s="4">
        <v>-26151.62</v>
      </c>
      <c r="H60"/>
      <c r="I60"/>
      <c r="J60"/>
      <c r="K60" s="360">
        <v>5020101000</v>
      </c>
      <c r="L60" s="356">
        <v>-28452</v>
      </c>
      <c r="M60" s="362"/>
    </row>
    <row r="61" spans="1:30" x14ac:dyDescent="0.25">
      <c r="A61">
        <v>5010102000</v>
      </c>
      <c r="B61" s="4">
        <v>-100</v>
      </c>
      <c r="F61" s="382">
        <v>5010102000</v>
      </c>
      <c r="G61" s="4">
        <v>-10000</v>
      </c>
      <c r="H61"/>
      <c r="I61"/>
      <c r="J61"/>
      <c r="K61" s="360">
        <v>5029903000</v>
      </c>
      <c r="L61" s="356">
        <v>-76800</v>
      </c>
      <c r="M61" s="362"/>
      <c r="AB61" s="361"/>
      <c r="AC61" s="359"/>
      <c r="AD61" s="362"/>
    </row>
    <row r="62" spans="1:30" x14ac:dyDescent="0.25">
      <c r="A62">
        <v>5010102000</v>
      </c>
      <c r="B62" s="4">
        <v>-36619</v>
      </c>
      <c r="F62" s="382">
        <v>5010102000</v>
      </c>
      <c r="G62" s="4">
        <v>-700</v>
      </c>
      <c r="K62" s="360">
        <v>5020201000</v>
      </c>
      <c r="L62" s="356">
        <v>-2925</v>
      </c>
      <c r="M62" s="362"/>
      <c r="AB62" s="357"/>
      <c r="AD62" s="362"/>
    </row>
    <row r="63" spans="1:30" x14ac:dyDescent="0.25">
      <c r="A63">
        <v>5010102000</v>
      </c>
      <c r="B63" s="4">
        <v>-14547.44</v>
      </c>
      <c r="F63" s="382">
        <v>5010299011</v>
      </c>
      <c r="G63" s="4">
        <v>-60000</v>
      </c>
      <c r="K63" s="360">
        <v>5020101000</v>
      </c>
      <c r="L63" s="356">
        <v>-78645</v>
      </c>
      <c r="M63" s="362"/>
      <c r="AD63" s="362"/>
    </row>
    <row r="64" spans="1:30" x14ac:dyDescent="0.25">
      <c r="A64">
        <v>5010102000</v>
      </c>
      <c r="B64" s="4">
        <v>-12275.43</v>
      </c>
      <c r="F64" s="382">
        <v>5010102000</v>
      </c>
      <c r="G64" s="4">
        <v>-200</v>
      </c>
      <c r="K64" s="360">
        <v>5020101000</v>
      </c>
      <c r="L64" s="356">
        <v>-65805</v>
      </c>
      <c r="M64" s="362"/>
    </row>
    <row r="65" spans="1:30" x14ac:dyDescent="0.25">
      <c r="A65">
        <v>5010102000</v>
      </c>
      <c r="B65" s="4">
        <v>-2693.27</v>
      </c>
      <c r="F65" s="382">
        <v>5010102000</v>
      </c>
      <c r="G65" s="4">
        <v>-4938.5600000000004</v>
      </c>
      <c r="K65" s="360">
        <v>5020101000</v>
      </c>
      <c r="L65" s="356">
        <v>-78800</v>
      </c>
      <c r="M65" s="362"/>
    </row>
    <row r="66" spans="1:30" x14ac:dyDescent="0.25">
      <c r="A66">
        <v>5010102000</v>
      </c>
      <c r="B66" s="4">
        <v>-2469.2800000000002</v>
      </c>
      <c r="F66" s="382">
        <v>5010499099</v>
      </c>
      <c r="G66" s="4">
        <v>-40000</v>
      </c>
      <c r="K66" s="360">
        <v>5020101000</v>
      </c>
      <c r="L66" s="356">
        <v>-7584</v>
      </c>
      <c r="M66" s="362"/>
      <c r="AD66" s="362"/>
    </row>
    <row r="67" spans="1:30" x14ac:dyDescent="0.25">
      <c r="A67">
        <v>5010102000</v>
      </c>
      <c r="B67" s="4">
        <v>-2317.5100000000002</v>
      </c>
      <c r="F67" s="382">
        <v>5010102000</v>
      </c>
      <c r="G67" s="4">
        <v>-14849.93</v>
      </c>
      <c r="K67" s="360">
        <v>5020101000</v>
      </c>
      <c r="L67" s="356">
        <v>-61806</v>
      </c>
      <c r="M67" s="362"/>
      <c r="AD67" s="362"/>
    </row>
    <row r="68" spans="1:30" x14ac:dyDescent="0.25">
      <c r="A68">
        <v>5010102000</v>
      </c>
      <c r="B68" s="4">
        <v>-2469.2800000000002</v>
      </c>
      <c r="F68" s="382">
        <v>5010499099</v>
      </c>
      <c r="G68" s="4">
        <v>-16000</v>
      </c>
      <c r="K68" s="360">
        <v>5020101000</v>
      </c>
      <c r="L68" s="356">
        <v>-49238</v>
      </c>
      <c r="M68" s="362"/>
      <c r="AD68" s="362"/>
    </row>
    <row r="69" spans="1:30" x14ac:dyDescent="0.25">
      <c r="A69">
        <v>5020401000</v>
      </c>
      <c r="B69" s="4">
        <v>-200</v>
      </c>
      <c r="F69" s="382">
        <v>5010499099</v>
      </c>
      <c r="G69" s="4">
        <v>-20000</v>
      </c>
      <c r="K69" s="360">
        <v>5020101000</v>
      </c>
      <c r="L69" s="356">
        <v>-80410</v>
      </c>
      <c r="M69" s="362"/>
      <c r="AD69" s="362"/>
    </row>
    <row r="70" spans="1:30" x14ac:dyDescent="0.25">
      <c r="A70">
        <v>5020401000</v>
      </c>
      <c r="B70" s="4">
        <v>-200</v>
      </c>
      <c r="F70" s="382">
        <v>5021203000</v>
      </c>
      <c r="G70" s="4">
        <v>-537349.92000000004</v>
      </c>
      <c r="K70" s="360">
        <v>5020101000</v>
      </c>
      <c r="L70" s="356">
        <v>-37636</v>
      </c>
      <c r="M70" s="362"/>
      <c r="AD70" s="362"/>
    </row>
    <row r="71" spans="1:30" x14ac:dyDescent="0.25">
      <c r="A71">
        <v>5010102000</v>
      </c>
      <c r="B71" s="4">
        <v>-8099.85</v>
      </c>
      <c r="K71" s="360">
        <v>5020101000</v>
      </c>
      <c r="L71" s="356">
        <v>-462</v>
      </c>
      <c r="M71" s="362"/>
      <c r="AD71" s="362"/>
    </row>
    <row r="72" spans="1:30" x14ac:dyDescent="0.25">
      <c r="A72">
        <v>5021199000</v>
      </c>
      <c r="B72" s="4">
        <v>-33290</v>
      </c>
      <c r="F72" s="239" t="s">
        <v>393</v>
      </c>
      <c r="G72" s="240">
        <f>G73+G81+G88+G91+G95</f>
        <v>-207923384.89916667</v>
      </c>
      <c r="I72"/>
      <c r="J72"/>
      <c r="K72" s="360">
        <v>5020101000</v>
      </c>
      <c r="L72" s="356">
        <v>-18458</v>
      </c>
      <c r="M72" s="362"/>
      <c r="AD72" s="362"/>
    </row>
    <row r="73" spans="1:30" x14ac:dyDescent="0.25">
      <c r="A73">
        <v>5021199000</v>
      </c>
      <c r="B73" s="4">
        <v>-14668.25</v>
      </c>
      <c r="F73" s="383" t="s">
        <v>394</v>
      </c>
      <c r="G73" s="246">
        <f>SUM(G74:G78)</f>
        <v>-2580493.27</v>
      </c>
      <c r="H73" s="4">
        <f>G73-'[26]JEV-GJ.Control'!$F$115</f>
        <v>0</v>
      </c>
      <c r="K73" s="360">
        <v>5020101000</v>
      </c>
      <c r="L73" s="356">
        <v>-26660</v>
      </c>
      <c r="M73" s="362"/>
      <c r="AB73" s="361"/>
    </row>
    <row r="74" spans="1:30" x14ac:dyDescent="0.25">
      <c r="A74">
        <v>5010102000</v>
      </c>
      <c r="B74" s="4">
        <v>-4494.28</v>
      </c>
      <c r="F74" s="382">
        <v>1040499000</v>
      </c>
      <c r="G74" s="4">
        <v>-2000</v>
      </c>
      <c r="I74" s="253" t="s">
        <v>326</v>
      </c>
      <c r="J74" t="s">
        <v>405</v>
      </c>
      <c r="K74" s="360">
        <v>5020101000</v>
      </c>
      <c r="L74" s="356">
        <v>-36188</v>
      </c>
      <c r="M74" s="362"/>
      <c r="AC74" s="359"/>
    </row>
    <row r="75" spans="1:30" x14ac:dyDescent="0.25">
      <c r="A75">
        <v>5010102000</v>
      </c>
      <c r="B75" s="4">
        <v>-2756.1</v>
      </c>
      <c r="F75" s="382">
        <v>1040499000</v>
      </c>
      <c r="G75" s="4">
        <v>2000</v>
      </c>
      <c r="I75" s="374">
        <v>1040401000</v>
      </c>
      <c r="J75" s="250">
        <v>-2528738.27</v>
      </c>
      <c r="K75">
        <v>5020101000</v>
      </c>
      <c r="L75" s="356">
        <v>-54510</v>
      </c>
      <c r="M75" s="362"/>
      <c r="AC75" s="359"/>
      <c r="AD75" s="362"/>
    </row>
    <row r="76" spans="1:30" x14ac:dyDescent="0.25">
      <c r="A76">
        <v>5010102000</v>
      </c>
      <c r="B76" s="4">
        <v>-11226.689999999999</v>
      </c>
      <c r="F76" s="382">
        <v>1040401000</v>
      </c>
      <c r="G76" s="4">
        <v>-2528738.27</v>
      </c>
      <c r="I76" s="374">
        <v>1040407000</v>
      </c>
      <c r="J76" s="250">
        <v>-48185</v>
      </c>
      <c r="K76">
        <v>5020101000</v>
      </c>
      <c r="L76" s="356">
        <v>-27690</v>
      </c>
      <c r="M76" s="362"/>
      <c r="AC76" s="359"/>
      <c r="AD76" s="362"/>
    </row>
    <row r="77" spans="1:30" x14ac:dyDescent="0.25">
      <c r="A77">
        <v>5021203000</v>
      </c>
      <c r="B77" s="4">
        <v>-105598.36</v>
      </c>
      <c r="F77" s="382">
        <v>1040407000</v>
      </c>
      <c r="G77" s="4">
        <v>-48185</v>
      </c>
      <c r="I77" s="374">
        <v>1040499000</v>
      </c>
      <c r="J77" s="250">
        <v>-3570</v>
      </c>
      <c r="K77">
        <v>5020101000</v>
      </c>
      <c r="L77" s="356">
        <v>-26392</v>
      </c>
      <c r="M77" s="362"/>
      <c r="AC77" s="359"/>
      <c r="AD77" s="362"/>
    </row>
    <row r="78" spans="1:30" x14ac:dyDescent="0.25">
      <c r="A78">
        <v>5021203000</v>
      </c>
      <c r="B78" s="4">
        <v>-107777.82</v>
      </c>
      <c r="F78" s="382">
        <v>1040499000</v>
      </c>
      <c r="G78" s="4">
        <v>-3570</v>
      </c>
      <c r="I78" s="254" t="s">
        <v>327</v>
      </c>
      <c r="J78" s="251">
        <v>-2580493.27</v>
      </c>
      <c r="K78">
        <v>5020101000</v>
      </c>
      <c r="L78" s="356">
        <v>-170630</v>
      </c>
      <c r="M78" s="362"/>
      <c r="AC78" s="359"/>
      <c r="AD78" s="362"/>
    </row>
    <row r="79" spans="1:30" x14ac:dyDescent="0.25">
      <c r="A79">
        <v>5021203000</v>
      </c>
      <c r="B79" s="4">
        <v>-318902.94</v>
      </c>
      <c r="I79"/>
      <c r="J79" s="251">
        <f>GETPIVOTDATA("-2,580,493.27 ",$I$74)-G73</f>
        <v>0</v>
      </c>
      <c r="K79">
        <v>5020101000</v>
      </c>
      <c r="L79" s="356">
        <v>-25038</v>
      </c>
      <c r="M79" s="362"/>
      <c r="AC79" s="359"/>
      <c r="AD79" s="362"/>
    </row>
    <row r="80" spans="1:30" x14ac:dyDescent="0.25">
      <c r="A80">
        <v>5010102000</v>
      </c>
      <c r="B80" s="4">
        <v>-9539.3700000000008</v>
      </c>
      <c r="I80"/>
      <c r="J80"/>
      <c r="K80">
        <v>5020101000</v>
      </c>
      <c r="L80" s="356">
        <v>-17840</v>
      </c>
      <c r="M80" s="362"/>
      <c r="AC80" s="359"/>
      <c r="AD80" s="362"/>
    </row>
    <row r="81" spans="1:34" x14ac:dyDescent="0.25">
      <c r="A81">
        <v>5010102000</v>
      </c>
      <c r="B81" s="4">
        <v>-86.56000000000131</v>
      </c>
      <c r="F81" s="383" t="s">
        <v>396</v>
      </c>
      <c r="G81" s="246">
        <f>SUM(G82:G86)</f>
        <v>-2139728.4500000002</v>
      </c>
      <c r="H81" s="4">
        <f>G81+'[27]JEV-GJ.Control'!$E$115</f>
        <v>0</v>
      </c>
      <c r="I81"/>
      <c r="J81" s="4">
        <f>GETPIVOTDATA("-2,580,493.27 ",$I$74)-G73</f>
        <v>0</v>
      </c>
      <c r="K81">
        <v>5020101000</v>
      </c>
      <c r="L81" s="356">
        <v>-110150</v>
      </c>
      <c r="M81" s="362"/>
      <c r="AC81" s="359"/>
      <c r="AD81" s="362"/>
    </row>
    <row r="82" spans="1:34" x14ac:dyDescent="0.25">
      <c r="A82">
        <v>5010102000</v>
      </c>
      <c r="B82" s="4">
        <v>500</v>
      </c>
      <c r="C82" s="360"/>
      <c r="F82" s="382">
        <v>1040502000</v>
      </c>
      <c r="G82" s="4">
        <v>-169875</v>
      </c>
      <c r="I82" s="253" t="s">
        <v>326</v>
      </c>
      <c r="J82" t="s">
        <v>406</v>
      </c>
      <c r="K82">
        <v>5020101000</v>
      </c>
      <c r="L82" s="356">
        <v>-40574</v>
      </c>
      <c r="M82" s="362"/>
      <c r="AC82" s="359"/>
      <c r="AD82" s="362"/>
    </row>
    <row r="83" spans="1:34" x14ac:dyDescent="0.25">
      <c r="A83">
        <v>5021601000</v>
      </c>
      <c r="B83" s="4">
        <v>9774.39</v>
      </c>
      <c r="C83" s="360"/>
      <c r="F83" s="382">
        <v>1040503000</v>
      </c>
      <c r="G83" s="4">
        <f>-1038250.45+15000</f>
        <v>-1023250.45</v>
      </c>
      <c r="I83" s="374">
        <v>1040502000</v>
      </c>
      <c r="J83" s="250">
        <v>-169875</v>
      </c>
      <c r="K83">
        <v>5020101000</v>
      </c>
      <c r="L83" s="356">
        <v>-52761</v>
      </c>
      <c r="M83" s="362"/>
    </row>
    <row r="84" spans="1:34" x14ac:dyDescent="0.25">
      <c r="A84">
        <v>5021199000</v>
      </c>
      <c r="B84" s="4">
        <v>2121.73</v>
      </c>
      <c r="C84" s="360"/>
      <c r="F84" s="382">
        <v>1040510000</v>
      </c>
      <c r="G84" s="4">
        <v>-62406</v>
      </c>
      <c r="I84" s="374">
        <v>1040503000</v>
      </c>
      <c r="J84" s="250">
        <v>-1023250.45</v>
      </c>
      <c r="K84">
        <v>5020101000</v>
      </c>
      <c r="L84" s="356">
        <v>-21700</v>
      </c>
      <c r="M84" s="362"/>
    </row>
    <row r="85" spans="1:34" x14ac:dyDescent="0.25">
      <c r="F85" s="382">
        <v>1040599000</v>
      </c>
      <c r="G85" s="4">
        <v>-51570</v>
      </c>
      <c r="I85" s="374">
        <v>1040510000</v>
      </c>
      <c r="J85" s="250">
        <v>-62406</v>
      </c>
      <c r="K85">
        <v>5020101000</v>
      </c>
      <c r="L85" s="356">
        <v>-29377</v>
      </c>
      <c r="M85" s="362"/>
      <c r="AC85" s="359"/>
    </row>
    <row r="86" spans="1:34" x14ac:dyDescent="0.25">
      <c r="A86" s="239" t="s">
        <v>393</v>
      </c>
      <c r="B86" s="240">
        <f>B87+B107+B110+B113</f>
        <v>-283457299.07999992</v>
      </c>
      <c r="C86" s="4">
        <f>B86-B6</f>
        <v>0</v>
      </c>
      <c r="F86" s="382">
        <v>1040601000</v>
      </c>
      <c r="G86" s="4">
        <v>-832627</v>
      </c>
      <c r="I86" s="374">
        <v>1040599000</v>
      </c>
      <c r="J86" s="250">
        <v>-51570</v>
      </c>
      <c r="K86">
        <v>5020101000</v>
      </c>
      <c r="L86" s="356">
        <v>-7000</v>
      </c>
      <c r="M86" s="362"/>
    </row>
    <row r="87" spans="1:34" x14ac:dyDescent="0.25">
      <c r="A87" s="239" t="s">
        <v>394</v>
      </c>
      <c r="B87" s="240">
        <f>SUM(B88:B105)</f>
        <v>-3564509.92</v>
      </c>
      <c r="C87" s="4">
        <f>B87-GETPIVOTDATA("-3,564,509.92 ",$D$87)</f>
        <v>0</v>
      </c>
      <c r="D87" s="253" t="s">
        <v>326</v>
      </c>
      <c r="E87" t="s">
        <v>395</v>
      </c>
      <c r="F87" s="354"/>
      <c r="I87" s="374">
        <v>1040601000</v>
      </c>
      <c r="J87" s="250">
        <v>-832627</v>
      </c>
      <c r="K87">
        <v>5020101000</v>
      </c>
      <c r="L87" s="356">
        <v>-8701.2800000000007</v>
      </c>
      <c r="M87" s="362"/>
    </row>
    <row r="88" spans="1:34" x14ac:dyDescent="0.25">
      <c r="A88">
        <v>5020399000</v>
      </c>
      <c r="B88" s="4">
        <v>42982</v>
      </c>
      <c r="D88" s="374">
        <v>2020</v>
      </c>
      <c r="E88" s="250">
        <v>490000</v>
      </c>
      <c r="F88" s="384" t="s">
        <v>397</v>
      </c>
      <c r="G88" s="246">
        <f>-'[28]JEV-GJ.Control'!$D$115</f>
        <v>-80753360.080000013</v>
      </c>
      <c r="I88" s="254" t="s">
        <v>327</v>
      </c>
      <c r="J88" s="251">
        <v>-2139728.4500000002</v>
      </c>
      <c r="K88">
        <v>5020101000</v>
      </c>
      <c r="L88" s="356">
        <v>-11640</v>
      </c>
      <c r="M88" s="362"/>
      <c r="AC88" s="359"/>
    </row>
    <row r="89" spans="1:34" x14ac:dyDescent="0.25">
      <c r="A89">
        <v>5020305000</v>
      </c>
      <c r="B89" s="4">
        <v>14598</v>
      </c>
      <c r="D89" s="374">
        <v>1040401000</v>
      </c>
      <c r="E89" s="250">
        <v>-2184501.7999999998</v>
      </c>
      <c r="F89" s="248">
        <v>1040202000</v>
      </c>
      <c r="G89" s="247">
        <f>-'[28]JEV-GJ.Control'!$D$115</f>
        <v>-80753360.080000013</v>
      </c>
      <c r="I89"/>
      <c r="J89" s="251">
        <f>GETPIVOTDATA("-2,139,728.45 ",$I$82)-G81</f>
        <v>0</v>
      </c>
      <c r="K89">
        <v>5020101000</v>
      </c>
      <c r="L89" s="356">
        <v>-4900</v>
      </c>
      <c r="M89" s="362"/>
    </row>
    <row r="90" spans="1:34" x14ac:dyDescent="0.25">
      <c r="A90">
        <v>2020</v>
      </c>
      <c r="B90" s="4">
        <v>490000</v>
      </c>
      <c r="D90" s="374">
        <v>1040405000</v>
      </c>
      <c r="E90" s="250">
        <v>-975754.83</v>
      </c>
      <c r="F90" s="354"/>
      <c r="I90"/>
      <c r="J90"/>
      <c r="K90">
        <v>5020101000</v>
      </c>
      <c r="L90" s="356">
        <v>-13900</v>
      </c>
      <c r="M90" s="362"/>
      <c r="AC90" s="359"/>
    </row>
    <row r="91" spans="1:34" x14ac:dyDescent="0.25">
      <c r="A91">
        <v>1040405000</v>
      </c>
      <c r="B91" s="4">
        <v>-546845.22</v>
      </c>
      <c r="D91" s="374">
        <v>1040406000</v>
      </c>
      <c r="E91" s="250">
        <v>-244024.76</v>
      </c>
      <c r="F91" s="384" t="s">
        <v>398</v>
      </c>
      <c r="G91" s="246">
        <f>-'[29]JEV-GJ.Control'!$D$115+-'[30]JEV-GJ.Control'!$D$115</f>
        <v>-122059714.41000003</v>
      </c>
      <c r="I91"/>
      <c r="J91"/>
      <c r="K91">
        <v>5020101000</v>
      </c>
      <c r="L91" s="356">
        <v>-3600</v>
      </c>
      <c r="M91" s="362"/>
      <c r="AB91" s="369"/>
      <c r="AD91" s="370"/>
    </row>
    <row r="92" spans="1:34" x14ac:dyDescent="0.25">
      <c r="A92">
        <v>1040499000</v>
      </c>
      <c r="B92" s="4">
        <v>-249993.45</v>
      </c>
      <c r="D92" s="374">
        <v>1040499000</v>
      </c>
      <c r="E92" s="250">
        <v>-707808.53</v>
      </c>
      <c r="F92" s="248">
        <v>1040299000</v>
      </c>
      <c r="G92" s="385">
        <f>-'[29]JEV-GJ.Control'!$D$115+-'[30]JEV-GJ.Control'!$D$115</f>
        <v>-122059714.41000003</v>
      </c>
      <c r="I92"/>
      <c r="J92"/>
      <c r="K92">
        <v>5021499000</v>
      </c>
      <c r="L92" s="356">
        <v>-225000</v>
      </c>
      <c r="M92" s="362"/>
      <c r="AB92" s="371"/>
      <c r="AF92" s="372"/>
      <c r="AG92" s="359"/>
      <c r="AH92" s="373"/>
    </row>
    <row r="93" spans="1:34" x14ac:dyDescent="0.25">
      <c r="A93">
        <v>1040401000</v>
      </c>
      <c r="B93" s="4">
        <v>-1218777.3</v>
      </c>
      <c r="D93" s="374">
        <v>5020305000</v>
      </c>
      <c r="E93" s="250">
        <v>14598</v>
      </c>
      <c r="F93" s="354"/>
      <c r="I93"/>
      <c r="J93"/>
      <c r="K93">
        <v>5010101001</v>
      </c>
      <c r="L93" s="356">
        <v>2900</v>
      </c>
      <c r="AB93" s="371"/>
      <c r="AF93" s="372"/>
      <c r="AG93" s="359"/>
    </row>
    <row r="94" spans="1:34" x14ac:dyDescent="0.25">
      <c r="A94">
        <v>1040499000</v>
      </c>
      <c r="B94" s="4">
        <v>-78525</v>
      </c>
      <c r="D94" s="374">
        <v>5020399000</v>
      </c>
      <c r="E94" s="250">
        <v>42982</v>
      </c>
      <c r="F94" s="384" t="s">
        <v>403</v>
      </c>
      <c r="G94" s="247"/>
      <c r="I94"/>
      <c r="J94"/>
      <c r="K94">
        <v>5021199000</v>
      </c>
      <c r="L94" s="356">
        <v>5522.73</v>
      </c>
      <c r="AB94" s="371"/>
      <c r="AF94" s="372"/>
      <c r="AG94" s="359"/>
    </row>
    <row r="95" spans="1:34" x14ac:dyDescent="0.25">
      <c r="A95">
        <v>1040406000</v>
      </c>
      <c r="B95" s="4">
        <v>-172441.85</v>
      </c>
      <c r="D95" s="254" t="s">
        <v>327</v>
      </c>
      <c r="E95" s="251">
        <v>-3564509.92</v>
      </c>
      <c r="F95" s="384">
        <v>5021503000</v>
      </c>
      <c r="G95" s="246">
        <v>-390088.68916663527</v>
      </c>
      <c r="I95"/>
      <c r="J95"/>
      <c r="K95">
        <v>5021199000</v>
      </c>
      <c r="L95" s="356">
        <v>270</v>
      </c>
      <c r="AB95" s="371"/>
      <c r="AF95" s="372"/>
      <c r="AG95" s="359"/>
    </row>
    <row r="96" spans="1:34" x14ac:dyDescent="0.25">
      <c r="A96">
        <v>1040405000</v>
      </c>
      <c r="B96" s="4">
        <v>-414311.61</v>
      </c>
      <c r="F96" s="354"/>
      <c r="I96"/>
      <c r="J96"/>
      <c r="K96"/>
      <c r="AB96" s="371"/>
      <c r="AF96" s="372"/>
      <c r="AG96" s="359"/>
    </row>
    <row r="97" spans="1:33" x14ac:dyDescent="0.25">
      <c r="A97">
        <v>1040499000</v>
      </c>
      <c r="B97" s="4">
        <v>-178082.28</v>
      </c>
      <c r="F97" s="354"/>
      <c r="I97"/>
      <c r="J97"/>
      <c r="K97" s="353" t="s">
        <v>409</v>
      </c>
      <c r="L97" s="4">
        <f>-[24]TB!$R$123+[24]TB!$S$123</f>
        <v>17959.490000000002</v>
      </c>
      <c r="AB97" s="371"/>
      <c r="AF97" s="372"/>
      <c r="AG97" s="359"/>
    </row>
    <row r="98" spans="1:33" x14ac:dyDescent="0.25">
      <c r="A98">
        <v>1040401000</v>
      </c>
      <c r="B98" s="4">
        <v>-451301.5</v>
      </c>
      <c r="F98" s="354"/>
      <c r="I98"/>
      <c r="J98"/>
      <c r="K98">
        <v>5029999099</v>
      </c>
      <c r="L98" s="4">
        <f>-[24]TB!$R$123+[24]TB!$S$123</f>
        <v>17959.490000000002</v>
      </c>
      <c r="AB98" s="371"/>
      <c r="AF98" s="372"/>
      <c r="AG98" s="359"/>
    </row>
    <row r="99" spans="1:33" x14ac:dyDescent="0.25">
      <c r="A99">
        <v>1040499000</v>
      </c>
      <c r="B99" s="4">
        <v>-2800</v>
      </c>
      <c r="F99" s="354"/>
      <c r="I99"/>
      <c r="J99"/>
      <c r="K99"/>
      <c r="AB99" s="371"/>
      <c r="AF99" s="372"/>
      <c r="AG99" s="359"/>
    </row>
    <row r="100" spans="1:33" x14ac:dyDescent="0.25">
      <c r="A100">
        <v>1040499000</v>
      </c>
      <c r="B100" s="4">
        <v>-108990.8</v>
      </c>
      <c r="D100"/>
      <c r="E100"/>
      <c r="F100" s="354"/>
      <c r="K100"/>
      <c r="N100" s="391"/>
      <c r="O100" s="391"/>
      <c r="P100" s="391"/>
      <c r="AB100" s="371"/>
      <c r="AF100" s="372"/>
      <c r="AG100" s="359"/>
    </row>
    <row r="101" spans="1:33" x14ac:dyDescent="0.25">
      <c r="A101">
        <v>1040406000</v>
      </c>
      <c r="B101" s="4">
        <v>-71582.91</v>
      </c>
      <c r="D101"/>
      <c r="E101"/>
      <c r="F101" s="354"/>
      <c r="K101" s="353" t="s">
        <v>302</v>
      </c>
      <c r="L101" s="246">
        <f>L7</f>
        <v>117095014.47</v>
      </c>
      <c r="M101" s="253" t="s">
        <v>326</v>
      </c>
      <c r="N101" t="s">
        <v>412</v>
      </c>
      <c r="O101"/>
      <c r="P101" s="391"/>
      <c r="AB101" s="371"/>
      <c r="AF101" s="372"/>
    </row>
    <row r="102" spans="1:33" x14ac:dyDescent="0.25">
      <c r="A102">
        <v>1040401000</v>
      </c>
      <c r="B102" s="4">
        <v>-514423</v>
      </c>
      <c r="D102"/>
      <c r="E102"/>
      <c r="F102" s="354"/>
      <c r="K102" s="360">
        <v>5010101001</v>
      </c>
      <c r="L102" s="356">
        <v>48807</v>
      </c>
      <c r="M102" s="389">
        <v>5010101001</v>
      </c>
      <c r="N102" s="390">
        <v>48807</v>
      </c>
      <c r="O102"/>
      <c r="P102" s="391"/>
      <c r="AB102" s="371"/>
    </row>
    <row r="103" spans="1:33" x14ac:dyDescent="0.25">
      <c r="A103">
        <v>1040499000</v>
      </c>
      <c r="B103" s="4">
        <v>-46435</v>
      </c>
      <c r="D103"/>
      <c r="E103"/>
      <c r="F103" s="354"/>
      <c r="K103" s="360">
        <v>5020307000</v>
      </c>
      <c r="L103" s="356">
        <v>191829.36000000002</v>
      </c>
      <c r="M103" s="389">
        <v>5020305000</v>
      </c>
      <c r="N103" s="390">
        <v>1683619.3299999998</v>
      </c>
      <c r="O103"/>
      <c r="P103" s="391"/>
      <c r="AB103" s="371"/>
    </row>
    <row r="104" spans="1:33" x14ac:dyDescent="0.25">
      <c r="A104">
        <v>1040499000</v>
      </c>
      <c r="B104" s="4">
        <v>-42982</v>
      </c>
      <c r="D104"/>
      <c r="E104"/>
      <c r="F104" s="354"/>
      <c r="K104" s="360">
        <v>5020305000</v>
      </c>
      <c r="L104" s="356">
        <v>1683619.3299999998</v>
      </c>
      <c r="M104" s="389">
        <v>5020307000</v>
      </c>
      <c r="N104" s="390">
        <v>191829.36000000002</v>
      </c>
      <c r="O104"/>
      <c r="P104" s="391"/>
      <c r="AB104" s="371"/>
    </row>
    <row r="105" spans="1:33" x14ac:dyDescent="0.25">
      <c r="A105">
        <v>1040405000</v>
      </c>
      <c r="B105" s="4">
        <v>-14598</v>
      </c>
      <c r="D105"/>
      <c r="E105"/>
      <c r="F105" s="354"/>
      <c r="K105" s="360">
        <v>5020308000</v>
      </c>
      <c r="L105" s="356">
        <v>433124.75</v>
      </c>
      <c r="M105" s="389">
        <v>5020308000</v>
      </c>
      <c r="N105" s="390">
        <v>433124.75</v>
      </c>
      <c r="O105"/>
      <c r="P105" s="391"/>
      <c r="AB105" s="371"/>
    </row>
    <row r="106" spans="1:33" x14ac:dyDescent="0.25">
      <c r="D106"/>
      <c r="E106"/>
      <c r="F106" s="354"/>
      <c r="K106" s="360">
        <v>5020399000</v>
      </c>
      <c r="L106" s="356">
        <v>539288.77</v>
      </c>
      <c r="M106" s="389">
        <v>5020321002</v>
      </c>
      <c r="N106" s="390">
        <v>21980</v>
      </c>
      <c r="O106"/>
      <c r="P106" s="391"/>
      <c r="AB106" s="371"/>
    </row>
    <row r="107" spans="1:33" x14ac:dyDescent="0.25">
      <c r="A107" s="239" t="s">
        <v>396</v>
      </c>
      <c r="B107" s="246">
        <v>-47738</v>
      </c>
      <c r="D107"/>
      <c r="E107"/>
      <c r="F107" s="354"/>
      <c r="K107" s="360">
        <v>5020399000</v>
      </c>
      <c r="L107" s="356">
        <v>6919225.2799999993</v>
      </c>
      <c r="M107" s="389">
        <v>5020321003</v>
      </c>
      <c r="N107" s="390">
        <v>73600</v>
      </c>
      <c r="O107"/>
      <c r="P107" s="391"/>
      <c r="AB107" s="371"/>
    </row>
    <row r="108" spans="1:33" x14ac:dyDescent="0.25">
      <c r="A108">
        <v>1040503000</v>
      </c>
      <c r="B108" s="4">
        <v>-47738</v>
      </c>
      <c r="D108"/>
      <c r="E108"/>
      <c r="F108" s="354"/>
      <c r="K108" s="360">
        <v>5020399000</v>
      </c>
      <c r="L108" s="356">
        <v>748858</v>
      </c>
      <c r="M108" s="389">
        <v>5020321099</v>
      </c>
      <c r="N108" s="390">
        <v>292355</v>
      </c>
      <c r="O108"/>
      <c r="P108" s="391"/>
      <c r="AB108" s="371"/>
    </row>
    <row r="109" spans="1:33" x14ac:dyDescent="0.25">
      <c r="K109" s="360">
        <v>5020322001</v>
      </c>
      <c r="L109" s="356">
        <v>13200</v>
      </c>
      <c r="M109" s="389">
        <v>5020322001</v>
      </c>
      <c r="N109" s="390">
        <v>13200</v>
      </c>
      <c r="O109"/>
      <c r="P109" s="391"/>
      <c r="AB109" s="371"/>
    </row>
    <row r="110" spans="1:33" x14ac:dyDescent="0.25">
      <c r="A110" s="239" t="s">
        <v>397</v>
      </c>
      <c r="B110" s="246">
        <v>-125823255.89</v>
      </c>
      <c r="K110" s="360">
        <v>5020321003</v>
      </c>
      <c r="L110" s="356">
        <v>73600</v>
      </c>
      <c r="M110" s="389">
        <v>5020399000</v>
      </c>
      <c r="N110" s="390">
        <v>8207372.0499999989</v>
      </c>
      <c r="O110"/>
      <c r="P110" s="391"/>
      <c r="AB110" s="371"/>
    </row>
    <row r="111" spans="1:33" x14ac:dyDescent="0.25">
      <c r="A111">
        <v>1040202000</v>
      </c>
      <c r="B111" s="4">
        <v>-125823255.89</v>
      </c>
      <c r="K111" s="360">
        <v>5020321002</v>
      </c>
      <c r="L111" s="356">
        <v>21980</v>
      </c>
      <c r="M111" s="254" t="s">
        <v>327</v>
      </c>
      <c r="N111" s="251">
        <v>10965887.489999998</v>
      </c>
      <c r="O111"/>
      <c r="P111" s="391"/>
      <c r="AB111" s="371"/>
    </row>
    <row r="112" spans="1:33" x14ac:dyDescent="0.25">
      <c r="K112" s="360">
        <v>5020321099</v>
      </c>
      <c r="L112" s="356">
        <v>292355</v>
      </c>
      <c r="M112"/>
      <c r="N112" s="251">
        <f>L101-GETPIVOTDATA(" 10,965,887.49 ",$M$101)</f>
        <v>106129126.98</v>
      </c>
      <c r="O112"/>
      <c r="P112" s="391"/>
      <c r="AB112" s="371"/>
    </row>
    <row r="113" spans="1:30" x14ac:dyDescent="0.25">
      <c r="A113" s="239" t="s">
        <v>398</v>
      </c>
      <c r="B113" s="246">
        <v>-154021795.26999989</v>
      </c>
      <c r="M113"/>
      <c r="N113"/>
      <c r="O113"/>
      <c r="P113" s="391"/>
      <c r="AB113" s="371"/>
    </row>
    <row r="114" spans="1:30" x14ac:dyDescent="0.25">
      <c r="A114">
        <v>1040299000</v>
      </c>
      <c r="B114" s="4">
        <v>-154021795.26999989</v>
      </c>
      <c r="M114"/>
      <c r="N114"/>
      <c r="O114"/>
      <c r="P114" s="391"/>
    </row>
    <row r="115" spans="1:30" x14ac:dyDescent="0.25">
      <c r="K115" s="398" t="s">
        <v>420</v>
      </c>
      <c r="L115" s="399">
        <v>-3886438.2</v>
      </c>
      <c r="M115"/>
      <c r="N115"/>
      <c r="O115"/>
      <c r="P115" s="391"/>
      <c r="AD115" s="356"/>
    </row>
    <row r="116" spans="1:30" x14ac:dyDescent="0.25">
      <c r="K116" s="360">
        <v>5020201002</v>
      </c>
      <c r="L116" s="399">
        <v>-3886438.2</v>
      </c>
      <c r="M116"/>
      <c r="N116"/>
      <c r="O116"/>
      <c r="P116" s="391"/>
      <c r="AB116" s="371"/>
    </row>
    <row r="117" spans="1:30" x14ac:dyDescent="0.25">
      <c r="M117"/>
      <c r="N117"/>
      <c r="O117"/>
      <c r="P117" s="391"/>
    </row>
    <row r="118" spans="1:30" x14ac:dyDescent="0.25">
      <c r="M118"/>
      <c r="N118"/>
      <c r="O118"/>
      <c r="P118" s="391"/>
    </row>
    <row r="119" spans="1:30" x14ac:dyDescent="0.25">
      <c r="K119" s="360" t="s">
        <v>421</v>
      </c>
      <c r="N119" s="391"/>
      <c r="O119" s="391"/>
      <c r="P119" s="391"/>
    </row>
    <row r="120" spans="1:30" x14ac:dyDescent="0.25">
      <c r="K120" s="360">
        <v>5050104099</v>
      </c>
      <c r="L120" s="356">
        <v>-234887.5</v>
      </c>
    </row>
    <row r="123" spans="1:30" x14ac:dyDescent="0.25">
      <c r="K123" s="353" t="s">
        <v>300</v>
      </c>
      <c r="L123" s="246">
        <v>-8817353.0999999996</v>
      </c>
    </row>
    <row r="124" spans="1:30" x14ac:dyDescent="0.25">
      <c r="K124" s="360">
        <v>5010102000</v>
      </c>
      <c r="L124" s="356">
        <v>-1371.77</v>
      </c>
      <c r="M124" s="253" t="s">
        <v>326</v>
      </c>
      <c r="N124" t="s">
        <v>425</v>
      </c>
      <c r="O124"/>
      <c r="P124"/>
      <c r="Q124"/>
      <c r="R124"/>
      <c r="S124"/>
      <c r="T124"/>
      <c r="U124"/>
      <c r="V124"/>
      <c r="W124"/>
    </row>
    <row r="125" spans="1:30" x14ac:dyDescent="0.25">
      <c r="K125" s="360">
        <v>5020101000</v>
      </c>
      <c r="L125" s="356">
        <v>-4000</v>
      </c>
      <c r="M125" s="389">
        <v>5010102000</v>
      </c>
      <c r="N125" s="390">
        <v>-1371.77</v>
      </c>
      <c r="O125"/>
      <c r="P125"/>
      <c r="Q125"/>
      <c r="R125"/>
      <c r="S125"/>
      <c r="T125"/>
      <c r="U125"/>
      <c r="V125"/>
      <c r="W125"/>
    </row>
    <row r="126" spans="1:30" x14ac:dyDescent="0.25">
      <c r="K126" s="360">
        <v>5020309000</v>
      </c>
      <c r="L126" s="356">
        <v>-2906.83</v>
      </c>
      <c r="M126" s="389">
        <v>5020101000</v>
      </c>
      <c r="N126" s="390">
        <v>-2160501</v>
      </c>
      <c r="O126"/>
      <c r="P126"/>
      <c r="Q126"/>
      <c r="R126"/>
      <c r="S126"/>
      <c r="T126"/>
      <c r="U126"/>
      <c r="V126"/>
      <c r="W126"/>
      <c r="AB126" s="371"/>
    </row>
    <row r="127" spans="1:30" x14ac:dyDescent="0.25">
      <c r="K127" s="360">
        <v>5020101000</v>
      </c>
      <c r="L127" s="356">
        <v>-38608</v>
      </c>
      <c r="M127" s="389">
        <v>5020201000</v>
      </c>
      <c r="N127" s="390">
        <v>-6342692.5</v>
      </c>
      <c r="O127"/>
    </row>
    <row r="128" spans="1:30" x14ac:dyDescent="0.25">
      <c r="K128" s="360">
        <v>5020101000</v>
      </c>
      <c r="L128" s="356">
        <v>-38608</v>
      </c>
      <c r="M128" s="389">
        <v>5020309000</v>
      </c>
      <c r="N128" s="390">
        <v>-2906.83</v>
      </c>
      <c r="O128"/>
    </row>
    <row r="129" spans="11:29" x14ac:dyDescent="0.25">
      <c r="K129" s="360">
        <v>5020101000</v>
      </c>
      <c r="L129" s="356">
        <v>-24130</v>
      </c>
      <c r="M129" s="389">
        <v>5020401000</v>
      </c>
      <c r="N129" s="390">
        <v>-15000</v>
      </c>
      <c r="O129"/>
      <c r="AC129" s="359"/>
    </row>
    <row r="130" spans="11:29" x14ac:dyDescent="0.25">
      <c r="K130" s="360">
        <v>5020101000</v>
      </c>
      <c r="L130" s="356">
        <v>-13609</v>
      </c>
      <c r="M130" s="389">
        <v>5020501000</v>
      </c>
      <c r="N130" s="390">
        <v>-21485</v>
      </c>
      <c r="O130"/>
    </row>
    <row r="131" spans="11:29" x14ac:dyDescent="0.25">
      <c r="K131" s="360">
        <v>5020101000</v>
      </c>
      <c r="L131" s="356">
        <v>-10330</v>
      </c>
      <c r="M131" s="389">
        <v>5021305002</v>
      </c>
      <c r="N131" s="390">
        <v>-90396</v>
      </c>
      <c r="O131"/>
    </row>
    <row r="132" spans="11:29" x14ac:dyDescent="0.25">
      <c r="K132" s="360">
        <v>5020101000</v>
      </c>
      <c r="L132" s="356">
        <v>-8863</v>
      </c>
      <c r="M132" s="389">
        <v>5029903000</v>
      </c>
      <c r="N132" s="390">
        <v>-51000</v>
      </c>
      <c r="O132"/>
    </row>
    <row r="133" spans="11:29" x14ac:dyDescent="0.25">
      <c r="K133" s="360">
        <v>5020101000</v>
      </c>
      <c r="L133" s="356">
        <v>-14105</v>
      </c>
      <c r="M133" s="389">
        <v>5029999099</v>
      </c>
      <c r="N133" s="390">
        <v>-132000</v>
      </c>
      <c r="O133"/>
    </row>
    <row r="134" spans="11:29" x14ac:dyDescent="0.25">
      <c r="K134" s="360">
        <v>5020101000</v>
      </c>
      <c r="L134" s="356">
        <v>-41021</v>
      </c>
      <c r="M134" s="254" t="s">
        <v>327</v>
      </c>
      <c r="N134" s="251">
        <v>-8817353.0999999996</v>
      </c>
      <c r="O134"/>
    </row>
    <row r="135" spans="11:29" x14ac:dyDescent="0.25">
      <c r="K135" s="360">
        <v>5020101000</v>
      </c>
      <c r="L135" s="356">
        <v>-59326</v>
      </c>
      <c r="M135"/>
      <c r="N135" s="251">
        <f>GETPIVOTDATA("-8,817,353.10 ",$M$124)-L123</f>
        <v>0</v>
      </c>
      <c r="O135"/>
    </row>
    <row r="136" spans="11:29" x14ac:dyDescent="0.25">
      <c r="K136" s="360">
        <v>5020101000</v>
      </c>
      <c r="L136" s="356">
        <v>-11329</v>
      </c>
      <c r="M136"/>
      <c r="N136"/>
      <c r="O136"/>
    </row>
    <row r="137" spans="11:29" x14ac:dyDescent="0.25">
      <c r="K137" s="360">
        <v>5020101000</v>
      </c>
      <c r="L137" s="356">
        <v>-36002</v>
      </c>
      <c r="M137"/>
      <c r="N137"/>
      <c r="O137"/>
    </row>
    <row r="138" spans="11:29" x14ac:dyDescent="0.25">
      <c r="K138" s="360">
        <v>5020101000</v>
      </c>
      <c r="L138" s="356">
        <v>-27304</v>
      </c>
      <c r="M138"/>
      <c r="N138"/>
      <c r="O138"/>
    </row>
    <row r="139" spans="11:29" x14ac:dyDescent="0.25">
      <c r="K139" s="360">
        <v>5020101000</v>
      </c>
      <c r="L139" s="356">
        <v>-37406</v>
      </c>
      <c r="M139"/>
      <c r="N139"/>
      <c r="O139"/>
    </row>
    <row r="140" spans="11:29" x14ac:dyDescent="0.25">
      <c r="K140" s="360">
        <v>5020101000</v>
      </c>
      <c r="L140" s="356">
        <v>-11489</v>
      </c>
      <c r="M140"/>
      <c r="N140"/>
      <c r="O140"/>
    </row>
    <row r="141" spans="11:29" x14ac:dyDescent="0.25">
      <c r="K141" s="360">
        <v>5020101000</v>
      </c>
      <c r="L141" s="356">
        <v>-20629</v>
      </c>
      <c r="M141"/>
      <c r="N141"/>
      <c r="O141"/>
    </row>
    <row r="142" spans="11:29" x14ac:dyDescent="0.25">
      <c r="K142" s="360">
        <v>5020101000</v>
      </c>
      <c r="L142" s="356">
        <v>-44069</v>
      </c>
      <c r="M142" s="362"/>
    </row>
    <row r="143" spans="11:29" x14ac:dyDescent="0.25">
      <c r="K143" s="360">
        <v>5020101000</v>
      </c>
      <c r="L143" s="356">
        <v>-14700</v>
      </c>
      <c r="M143" s="362"/>
    </row>
    <row r="144" spans="11:29" x14ac:dyDescent="0.25">
      <c r="K144" s="360">
        <v>5020101000</v>
      </c>
      <c r="L144" s="356">
        <v>-1960</v>
      </c>
      <c r="M144" s="362"/>
    </row>
    <row r="145" spans="11:13" x14ac:dyDescent="0.25">
      <c r="K145" s="360">
        <v>5020101000</v>
      </c>
      <c r="L145" s="356">
        <v>-45092</v>
      </c>
      <c r="M145" s="362"/>
    </row>
    <row r="146" spans="11:13" x14ac:dyDescent="0.25">
      <c r="K146" s="360">
        <v>5020101000</v>
      </c>
      <c r="L146" s="356">
        <v>-16665</v>
      </c>
      <c r="M146" s="362"/>
    </row>
    <row r="147" spans="11:13" x14ac:dyDescent="0.25">
      <c r="K147" s="360">
        <v>5020101000</v>
      </c>
      <c r="L147" s="356">
        <v>-28191</v>
      </c>
      <c r="M147" s="362"/>
    </row>
    <row r="148" spans="11:13" x14ac:dyDescent="0.25">
      <c r="K148" s="360">
        <v>5020101000</v>
      </c>
      <c r="L148" s="356">
        <v>-23644</v>
      </c>
      <c r="M148" s="362"/>
    </row>
    <row r="149" spans="11:13" x14ac:dyDescent="0.25">
      <c r="K149" s="360">
        <v>5020101000</v>
      </c>
      <c r="L149" s="356">
        <v>-25749</v>
      </c>
      <c r="M149" s="362"/>
    </row>
    <row r="150" spans="11:13" x14ac:dyDescent="0.25">
      <c r="K150" s="360">
        <v>5020101000</v>
      </c>
      <c r="L150" s="356">
        <v>-19304</v>
      </c>
      <c r="M150" s="362"/>
    </row>
    <row r="151" spans="11:13" x14ac:dyDescent="0.25">
      <c r="K151" s="360">
        <v>5020101000</v>
      </c>
      <c r="L151" s="356">
        <v>-24130</v>
      </c>
      <c r="M151" s="362"/>
    </row>
    <row r="152" spans="11:13" x14ac:dyDescent="0.25">
      <c r="K152" s="360">
        <v>5020101000</v>
      </c>
      <c r="L152" s="356">
        <v>-68241</v>
      </c>
      <c r="M152" s="362"/>
    </row>
    <row r="153" spans="11:13" x14ac:dyDescent="0.25">
      <c r="K153" s="360">
        <v>5020101000</v>
      </c>
      <c r="L153" s="356">
        <v>-1224</v>
      </c>
      <c r="M153" s="362"/>
    </row>
    <row r="154" spans="11:13" x14ac:dyDescent="0.25">
      <c r="K154" s="360">
        <v>5020101000</v>
      </c>
      <c r="L154" s="356">
        <v>-4400</v>
      </c>
      <c r="M154" s="362"/>
    </row>
    <row r="155" spans="11:13" x14ac:dyDescent="0.25">
      <c r="K155" s="360">
        <v>5020101000</v>
      </c>
      <c r="L155" s="356">
        <v>-21501</v>
      </c>
      <c r="M155" s="362"/>
    </row>
    <row r="156" spans="11:13" x14ac:dyDescent="0.25">
      <c r="K156" s="360">
        <v>5020101000</v>
      </c>
      <c r="L156" s="356">
        <v>-24117</v>
      </c>
      <c r="M156" s="362"/>
    </row>
    <row r="157" spans="11:13" x14ac:dyDescent="0.25">
      <c r="K157" s="360">
        <v>5020101000</v>
      </c>
      <c r="L157" s="356">
        <v>-9652</v>
      </c>
      <c r="M157" s="362"/>
    </row>
    <row r="158" spans="11:13" x14ac:dyDescent="0.25">
      <c r="K158" s="360">
        <v>5020101000</v>
      </c>
      <c r="L158" s="356">
        <v>-15976</v>
      </c>
      <c r="M158" s="362"/>
    </row>
    <row r="159" spans="11:13" x14ac:dyDescent="0.25">
      <c r="K159" s="360">
        <v>5020101000</v>
      </c>
      <c r="L159" s="356">
        <v>-17731</v>
      </c>
      <c r="M159" s="362"/>
    </row>
    <row r="160" spans="11:13" x14ac:dyDescent="0.25">
      <c r="K160" s="360">
        <v>5020101000</v>
      </c>
      <c r="L160" s="356">
        <v>-7239</v>
      </c>
      <c r="M160" s="362"/>
    </row>
    <row r="161" spans="11:13" x14ac:dyDescent="0.25">
      <c r="K161" s="360">
        <v>5020101000</v>
      </c>
      <c r="L161" s="356">
        <v>-10075</v>
      </c>
      <c r="M161" s="362"/>
    </row>
    <row r="162" spans="11:13" x14ac:dyDescent="0.25">
      <c r="K162" s="360">
        <v>5020101000</v>
      </c>
      <c r="L162" s="356">
        <v>-17509</v>
      </c>
      <c r="M162" s="362"/>
    </row>
    <row r="163" spans="11:13" x14ac:dyDescent="0.25">
      <c r="K163" s="360">
        <v>5020101000</v>
      </c>
      <c r="L163" s="356">
        <v>-24644</v>
      </c>
      <c r="M163" s="362"/>
    </row>
    <row r="164" spans="11:13" x14ac:dyDescent="0.25">
      <c r="K164" s="360">
        <v>5020101000</v>
      </c>
      <c r="L164" s="356">
        <v>-1480</v>
      </c>
      <c r="M164" s="362"/>
    </row>
    <row r="165" spans="11:13" x14ac:dyDescent="0.25">
      <c r="K165" s="360">
        <v>5020101000</v>
      </c>
      <c r="L165" s="356">
        <v>-24017</v>
      </c>
      <c r="M165" s="362"/>
    </row>
    <row r="166" spans="11:13" x14ac:dyDescent="0.25">
      <c r="K166" s="360">
        <v>5020101000</v>
      </c>
      <c r="L166" s="356">
        <v>-23784</v>
      </c>
      <c r="M166" s="362"/>
    </row>
    <row r="167" spans="11:13" x14ac:dyDescent="0.25">
      <c r="K167" s="360">
        <v>5020101000</v>
      </c>
      <c r="L167" s="356">
        <v>-24217</v>
      </c>
      <c r="M167" s="362"/>
    </row>
    <row r="168" spans="11:13" x14ac:dyDescent="0.25">
      <c r="K168" s="360">
        <v>5020101000</v>
      </c>
      <c r="L168" s="356">
        <v>-24130</v>
      </c>
      <c r="M168" s="362"/>
    </row>
    <row r="169" spans="11:13" x14ac:dyDescent="0.25">
      <c r="K169" s="360">
        <v>5020101000</v>
      </c>
      <c r="L169" s="356">
        <v>-26543</v>
      </c>
      <c r="M169" s="362"/>
    </row>
    <row r="170" spans="11:13" x14ac:dyDescent="0.25">
      <c r="K170" s="360">
        <v>5020101000</v>
      </c>
      <c r="L170" s="356">
        <v>-15570</v>
      </c>
      <c r="M170" s="362"/>
    </row>
    <row r="171" spans="11:13" x14ac:dyDescent="0.25">
      <c r="K171" s="360">
        <v>5020101000</v>
      </c>
      <c r="L171" s="356">
        <v>-28123</v>
      </c>
      <c r="M171" s="362"/>
    </row>
    <row r="172" spans="11:13" x14ac:dyDescent="0.25">
      <c r="K172" s="360">
        <v>5020101000</v>
      </c>
      <c r="L172" s="356">
        <v>-31369</v>
      </c>
      <c r="M172" s="362"/>
    </row>
    <row r="173" spans="11:13" x14ac:dyDescent="0.25">
      <c r="K173" s="360">
        <v>5020101000</v>
      </c>
      <c r="L173" s="356">
        <v>-11852</v>
      </c>
      <c r="M173" s="362"/>
    </row>
    <row r="174" spans="11:13" x14ac:dyDescent="0.25">
      <c r="K174" s="360">
        <v>5020101000</v>
      </c>
      <c r="L174" s="356">
        <v>-4785</v>
      </c>
      <c r="M174" s="362"/>
    </row>
    <row r="175" spans="11:13" x14ac:dyDescent="0.25">
      <c r="K175" s="360">
        <v>5020101000</v>
      </c>
      <c r="L175" s="356">
        <v>-10363</v>
      </c>
      <c r="M175" s="362"/>
    </row>
    <row r="176" spans="11:13" x14ac:dyDescent="0.25">
      <c r="K176" s="360">
        <v>5020101000</v>
      </c>
      <c r="L176" s="356">
        <v>-17578</v>
      </c>
      <c r="M176" s="362"/>
    </row>
    <row r="177" spans="11:13" x14ac:dyDescent="0.25">
      <c r="K177" s="360">
        <v>5020101000</v>
      </c>
      <c r="L177" s="356">
        <v>-22078</v>
      </c>
      <c r="M177" s="362"/>
    </row>
    <row r="178" spans="11:13" x14ac:dyDescent="0.25">
      <c r="K178" s="360">
        <v>5020101000</v>
      </c>
      <c r="L178" s="356">
        <v>-23191</v>
      </c>
      <c r="M178" s="362"/>
    </row>
    <row r="179" spans="11:13" x14ac:dyDescent="0.25">
      <c r="K179" s="360">
        <v>5020101000</v>
      </c>
      <c r="L179" s="356">
        <v>-23097</v>
      </c>
      <c r="M179" s="362"/>
    </row>
    <row r="180" spans="11:13" x14ac:dyDescent="0.25">
      <c r="K180" s="360">
        <v>5020101000</v>
      </c>
      <c r="L180" s="356">
        <v>-23171</v>
      </c>
      <c r="M180" s="362"/>
    </row>
    <row r="181" spans="11:13" x14ac:dyDescent="0.25">
      <c r="K181" s="360">
        <v>5020101000</v>
      </c>
      <c r="L181" s="356">
        <v>-21531</v>
      </c>
      <c r="M181" s="362"/>
    </row>
    <row r="182" spans="11:13" x14ac:dyDescent="0.25">
      <c r="K182" s="360">
        <v>5020101000</v>
      </c>
      <c r="L182" s="356">
        <v>-24125</v>
      </c>
      <c r="M182" s="362"/>
    </row>
    <row r="183" spans="11:13" x14ac:dyDescent="0.25">
      <c r="K183" s="360">
        <v>5020401000</v>
      </c>
      <c r="L183" s="356">
        <v>-15000</v>
      </c>
      <c r="M183" s="362"/>
    </row>
    <row r="184" spans="11:13" x14ac:dyDescent="0.25">
      <c r="K184" s="360">
        <v>5020201000</v>
      </c>
      <c r="L184" s="356">
        <v>-6336000</v>
      </c>
      <c r="M184" s="362"/>
    </row>
    <row r="185" spans="11:13" x14ac:dyDescent="0.25">
      <c r="K185" s="360">
        <v>5020101000</v>
      </c>
      <c r="L185" s="356">
        <v>-6200</v>
      </c>
      <c r="M185" s="362"/>
    </row>
    <row r="186" spans="11:13" x14ac:dyDescent="0.25">
      <c r="K186" s="360">
        <v>5020101000</v>
      </c>
      <c r="L186" s="356">
        <v>-724</v>
      </c>
      <c r="M186" s="362"/>
    </row>
    <row r="187" spans="11:13" x14ac:dyDescent="0.25">
      <c r="K187" s="360">
        <v>5020101000</v>
      </c>
      <c r="L187" s="356">
        <v>-12905</v>
      </c>
      <c r="M187" s="362"/>
    </row>
    <row r="188" spans="11:13" x14ac:dyDescent="0.25">
      <c r="K188" s="360">
        <v>5020101000</v>
      </c>
      <c r="L188" s="356">
        <v>-50221</v>
      </c>
      <c r="M188" s="362"/>
    </row>
    <row r="189" spans="11:13" x14ac:dyDescent="0.25">
      <c r="K189" s="360">
        <v>5020101000</v>
      </c>
      <c r="L189" s="356">
        <v>-29363</v>
      </c>
      <c r="M189" s="362"/>
    </row>
    <row r="190" spans="11:13" x14ac:dyDescent="0.25">
      <c r="K190" s="360">
        <v>5020101000</v>
      </c>
      <c r="L190" s="356">
        <v>-2413</v>
      </c>
      <c r="M190" s="362"/>
    </row>
    <row r="191" spans="11:13" x14ac:dyDescent="0.25">
      <c r="K191" s="360">
        <v>5020101000</v>
      </c>
      <c r="L191" s="356">
        <v>-6101</v>
      </c>
      <c r="M191" s="362"/>
    </row>
    <row r="192" spans="11:13" x14ac:dyDescent="0.25">
      <c r="K192" s="360">
        <v>5020101000</v>
      </c>
      <c r="L192" s="356">
        <v>-18465</v>
      </c>
      <c r="M192" s="362"/>
    </row>
    <row r="193" spans="11:13" x14ac:dyDescent="0.25">
      <c r="K193" s="360">
        <v>5020101000</v>
      </c>
      <c r="L193" s="356">
        <v>-13065</v>
      </c>
      <c r="M193" s="362"/>
    </row>
    <row r="194" spans="11:13" x14ac:dyDescent="0.25">
      <c r="K194" s="360">
        <v>5020101000</v>
      </c>
      <c r="L194" s="356">
        <v>-41182</v>
      </c>
      <c r="M194" s="362"/>
    </row>
    <row r="195" spans="11:13" x14ac:dyDescent="0.25">
      <c r="K195" s="360">
        <v>5020101000</v>
      </c>
      <c r="L195" s="356">
        <v>-33782</v>
      </c>
      <c r="M195" s="362"/>
    </row>
    <row r="196" spans="11:13" x14ac:dyDescent="0.25">
      <c r="K196" s="360">
        <v>5020101000</v>
      </c>
      <c r="L196" s="356">
        <v>-20365</v>
      </c>
      <c r="M196" s="362"/>
    </row>
    <row r="197" spans="11:13" x14ac:dyDescent="0.25">
      <c r="K197" s="360">
        <v>5020101000</v>
      </c>
      <c r="L197" s="356">
        <v>-6793</v>
      </c>
      <c r="M197" s="362"/>
    </row>
    <row r="198" spans="11:13" x14ac:dyDescent="0.25">
      <c r="K198" s="360">
        <v>5020101000</v>
      </c>
      <c r="L198" s="356">
        <v>-5390</v>
      </c>
      <c r="M198" s="362"/>
    </row>
    <row r="199" spans="11:13" x14ac:dyDescent="0.25">
      <c r="K199" s="360">
        <v>5020101000</v>
      </c>
      <c r="L199" s="356">
        <v>-21811</v>
      </c>
      <c r="M199" s="362"/>
    </row>
    <row r="200" spans="11:13" x14ac:dyDescent="0.25">
      <c r="K200" s="360">
        <v>5020101000</v>
      </c>
      <c r="L200" s="356">
        <v>-22612</v>
      </c>
      <c r="M200" s="362"/>
    </row>
    <row r="201" spans="11:13" x14ac:dyDescent="0.25">
      <c r="K201" s="360">
        <v>5020101000</v>
      </c>
      <c r="L201" s="356">
        <v>-25470</v>
      </c>
      <c r="M201" s="362"/>
    </row>
    <row r="202" spans="11:13" x14ac:dyDescent="0.25">
      <c r="K202" s="360">
        <v>5020101000</v>
      </c>
      <c r="L202" s="356">
        <v>-23817</v>
      </c>
      <c r="M202" s="362"/>
    </row>
    <row r="203" spans="11:13" x14ac:dyDescent="0.25">
      <c r="K203" s="360">
        <v>5020101000</v>
      </c>
      <c r="L203" s="356">
        <v>-24130</v>
      </c>
      <c r="M203" s="362"/>
    </row>
    <row r="204" spans="11:13" x14ac:dyDescent="0.25">
      <c r="K204" s="360">
        <v>5020101000</v>
      </c>
      <c r="L204" s="356">
        <v>-25830</v>
      </c>
      <c r="M204" s="362"/>
    </row>
    <row r="205" spans="11:13" x14ac:dyDescent="0.25">
      <c r="K205" s="360">
        <v>5020101000</v>
      </c>
      <c r="L205" s="356">
        <v>-23757</v>
      </c>
      <c r="M205" s="362"/>
    </row>
    <row r="206" spans="11:13" x14ac:dyDescent="0.25">
      <c r="K206" s="360">
        <v>5020101000</v>
      </c>
      <c r="L206" s="356">
        <v>-29410</v>
      </c>
      <c r="M206" s="362"/>
    </row>
    <row r="207" spans="11:13" x14ac:dyDescent="0.25">
      <c r="K207" s="360">
        <v>5020101000</v>
      </c>
      <c r="L207" s="356">
        <v>-25024</v>
      </c>
      <c r="M207" s="362"/>
    </row>
    <row r="208" spans="11:13" x14ac:dyDescent="0.25">
      <c r="K208" s="360">
        <v>5020101000</v>
      </c>
      <c r="L208" s="356">
        <v>-23165</v>
      </c>
      <c r="M208" s="362"/>
    </row>
    <row r="209" spans="11:13" x14ac:dyDescent="0.25">
      <c r="K209" s="360">
        <v>5020101000</v>
      </c>
      <c r="L209" s="356">
        <v>-23627</v>
      </c>
      <c r="M209" s="362"/>
    </row>
    <row r="210" spans="11:13" x14ac:dyDescent="0.25">
      <c r="K210" s="360">
        <v>5020101000</v>
      </c>
      <c r="L210" s="356">
        <v>-31369</v>
      </c>
      <c r="M210" s="362"/>
    </row>
    <row r="211" spans="11:13" x14ac:dyDescent="0.25">
      <c r="K211" s="360">
        <v>5020101000</v>
      </c>
      <c r="L211" s="356">
        <v>-31369</v>
      </c>
      <c r="M211" s="362"/>
    </row>
    <row r="212" spans="11:13" x14ac:dyDescent="0.25">
      <c r="K212" s="360">
        <v>5020101000</v>
      </c>
      <c r="L212" s="356">
        <v>-33349</v>
      </c>
      <c r="M212" s="362"/>
    </row>
    <row r="213" spans="11:13" x14ac:dyDescent="0.25">
      <c r="K213" s="360">
        <v>5020101000</v>
      </c>
      <c r="L213" s="356">
        <v>-35283</v>
      </c>
      <c r="M213" s="362"/>
    </row>
    <row r="214" spans="11:13" x14ac:dyDescent="0.25">
      <c r="K214" s="360">
        <v>5020101000</v>
      </c>
      <c r="L214" s="356">
        <v>-40142</v>
      </c>
      <c r="M214" s="362"/>
    </row>
    <row r="215" spans="11:13" x14ac:dyDescent="0.25">
      <c r="K215" s="360">
        <v>5020101000</v>
      </c>
      <c r="L215" s="356">
        <v>-24130</v>
      </c>
      <c r="M215" s="362"/>
    </row>
    <row r="216" spans="11:13" x14ac:dyDescent="0.25">
      <c r="K216" s="360">
        <v>5020101000</v>
      </c>
      <c r="L216" s="356">
        <v>-21231</v>
      </c>
      <c r="M216" s="362"/>
    </row>
    <row r="217" spans="11:13" x14ac:dyDescent="0.25">
      <c r="K217" s="360">
        <v>5029903000</v>
      </c>
      <c r="L217" s="356">
        <v>-16000</v>
      </c>
      <c r="M217" s="362"/>
    </row>
    <row r="218" spans="11:13" x14ac:dyDescent="0.25">
      <c r="K218" s="360">
        <v>5029903000</v>
      </c>
      <c r="L218" s="356">
        <v>-20000</v>
      </c>
      <c r="M218" s="362"/>
    </row>
    <row r="219" spans="11:13" x14ac:dyDescent="0.25">
      <c r="K219" s="360">
        <v>5029903000</v>
      </c>
      <c r="L219" s="356">
        <v>-15000</v>
      </c>
      <c r="M219" s="362"/>
    </row>
    <row r="220" spans="11:13" x14ac:dyDescent="0.25">
      <c r="K220" s="360">
        <v>5029999099</v>
      </c>
      <c r="L220" s="356">
        <v>-84000</v>
      </c>
      <c r="M220" s="362"/>
    </row>
    <row r="221" spans="11:13" x14ac:dyDescent="0.25">
      <c r="K221" s="360">
        <v>5029999099</v>
      </c>
      <c r="L221" s="356">
        <v>-48000</v>
      </c>
      <c r="M221" s="362"/>
    </row>
    <row r="222" spans="11:13" x14ac:dyDescent="0.25">
      <c r="K222" s="360">
        <v>5020501000</v>
      </c>
      <c r="L222" s="356">
        <v>-21485</v>
      </c>
      <c r="M222" s="362"/>
    </row>
    <row r="223" spans="11:13" x14ac:dyDescent="0.25">
      <c r="K223" s="360">
        <v>5020201000</v>
      </c>
      <c r="L223" s="356">
        <v>-6692.5</v>
      </c>
      <c r="M223" s="362"/>
    </row>
    <row r="224" spans="11:13" x14ac:dyDescent="0.25">
      <c r="K224" s="360">
        <v>5020101000</v>
      </c>
      <c r="L224" s="356">
        <v>-4826</v>
      </c>
      <c r="M224" s="362"/>
    </row>
    <row r="225" spans="11:13" x14ac:dyDescent="0.25">
      <c r="K225" s="360">
        <v>5020101000</v>
      </c>
      <c r="L225" s="356">
        <v>-50310</v>
      </c>
      <c r="M225" s="362"/>
    </row>
    <row r="226" spans="11:13" x14ac:dyDescent="0.25">
      <c r="K226" s="360">
        <v>5020101000</v>
      </c>
      <c r="L226" s="356">
        <v>-15560</v>
      </c>
      <c r="M226" s="362"/>
    </row>
    <row r="227" spans="11:13" x14ac:dyDescent="0.25">
      <c r="K227" s="360">
        <v>5020101000</v>
      </c>
      <c r="L227" s="356">
        <v>-16244</v>
      </c>
      <c r="M227" s="362"/>
    </row>
    <row r="228" spans="11:13" x14ac:dyDescent="0.25">
      <c r="K228" s="360">
        <v>5020101000</v>
      </c>
      <c r="L228" s="356">
        <v>-84490</v>
      </c>
      <c r="M228" s="362"/>
    </row>
    <row r="229" spans="11:13" x14ac:dyDescent="0.25">
      <c r="K229" s="360">
        <v>5020101000</v>
      </c>
      <c r="L229" s="356">
        <v>-11700</v>
      </c>
      <c r="M229" s="362"/>
    </row>
    <row r="230" spans="11:13" x14ac:dyDescent="0.25">
      <c r="K230" s="360">
        <v>5020101000</v>
      </c>
      <c r="L230" s="356">
        <v>-1300</v>
      </c>
      <c r="M230" s="362"/>
    </row>
    <row r="231" spans="11:13" x14ac:dyDescent="0.25">
      <c r="K231" s="360">
        <v>5021305002</v>
      </c>
      <c r="L231" s="356">
        <v>-90396</v>
      </c>
      <c r="M231" s="362"/>
    </row>
    <row r="10299" spans="13:15" x14ac:dyDescent="0.25">
      <c r="M10299" s="253" t="s">
        <v>326</v>
      </c>
      <c r="N10299"/>
      <c r="O10299"/>
    </row>
    <row r="10300" spans="13:15" x14ac:dyDescent="0.25">
      <c r="M10300" s="254">
        <v>5010101001</v>
      </c>
      <c r="N10300"/>
      <c r="O10300"/>
    </row>
    <row r="10301" spans="13:15" x14ac:dyDescent="0.25">
      <c r="M10301" s="254">
        <v>5020305000</v>
      </c>
      <c r="N10301"/>
      <c r="O10301"/>
    </row>
    <row r="10302" spans="13:15" x14ac:dyDescent="0.25">
      <c r="M10302" s="254">
        <v>5020307000</v>
      </c>
      <c r="N10302"/>
      <c r="O10302"/>
    </row>
    <row r="10303" spans="13:15" x14ac:dyDescent="0.25">
      <c r="M10303" s="254">
        <v>5020308000</v>
      </c>
      <c r="N10303"/>
      <c r="O10303"/>
    </row>
    <row r="10304" spans="13:15" x14ac:dyDescent="0.25">
      <c r="M10304" s="254">
        <v>5020321002</v>
      </c>
      <c r="N10304"/>
      <c r="O10304"/>
    </row>
    <row r="10305" spans="13:15" x14ac:dyDescent="0.25">
      <c r="M10305" s="254">
        <v>5020321003</v>
      </c>
      <c r="N10305"/>
      <c r="O10305"/>
    </row>
    <row r="10306" spans="13:15" x14ac:dyDescent="0.25">
      <c r="M10306" s="254">
        <v>5020321099</v>
      </c>
      <c r="N10306"/>
      <c r="O10306"/>
    </row>
    <row r="10307" spans="13:15" x14ac:dyDescent="0.25">
      <c r="M10307" s="254">
        <v>5020322001</v>
      </c>
      <c r="N10307"/>
      <c r="O10307"/>
    </row>
    <row r="10308" spans="13:15" x14ac:dyDescent="0.25">
      <c r="M10308" s="254">
        <v>5020399000</v>
      </c>
      <c r="N10308"/>
      <c r="O10308"/>
    </row>
    <row r="10309" spans="13:15" x14ac:dyDescent="0.25">
      <c r="M10309" s="254" t="s">
        <v>327</v>
      </c>
      <c r="N10309"/>
      <c r="O10309"/>
    </row>
    <row r="10310" spans="13:15" x14ac:dyDescent="0.25">
      <c r="M10310"/>
      <c r="N10310"/>
      <c r="O10310"/>
    </row>
    <row r="10311" spans="13:15" x14ac:dyDescent="0.25">
      <c r="M10311"/>
      <c r="N10311"/>
      <c r="O10311"/>
    </row>
    <row r="10312" spans="13:15" x14ac:dyDescent="0.25">
      <c r="M10312"/>
      <c r="N10312"/>
      <c r="O10312"/>
    </row>
    <row r="10313" spans="13:15" x14ac:dyDescent="0.25">
      <c r="M10313"/>
      <c r="N10313"/>
      <c r="O10313"/>
    </row>
    <row r="10314" spans="13:15" x14ac:dyDescent="0.25">
      <c r="M10314"/>
      <c r="N10314"/>
      <c r="O10314"/>
    </row>
    <row r="10315" spans="13:15" x14ac:dyDescent="0.25">
      <c r="M10315"/>
      <c r="N10315"/>
      <c r="O10315"/>
    </row>
    <row r="10316" spans="13:15" x14ac:dyDescent="0.25">
      <c r="M10316"/>
      <c r="N10316"/>
      <c r="O10316"/>
    </row>
  </sheetData>
  <mergeCells count="3">
    <mergeCell ref="A1:D1"/>
    <mergeCell ref="F1:I1"/>
    <mergeCell ref="K1:N1"/>
  </mergeCells>
  <pageMargins left="0.7" right="0.7" top="0.75" bottom="0.75" header="0.3" footer="0.3"/>
  <pageSetup orientation="portrait" r:id="rId1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4"/>
  <sheetViews>
    <sheetView view="pageBreakPreview" zoomScale="85" zoomScaleNormal="60" zoomScaleSheetLayoutView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C43" sqref="C43"/>
    </sheetView>
  </sheetViews>
  <sheetFormatPr defaultColWidth="9.140625" defaultRowHeight="15" x14ac:dyDescent="0.2"/>
  <cols>
    <col min="1" max="1" width="2.28515625" style="8" customWidth="1"/>
    <col min="2" max="2" width="4.5703125" style="8" customWidth="1"/>
    <col min="3" max="3" width="75" style="8" customWidth="1"/>
    <col min="4" max="4" width="32.140625" style="24" customWidth="1"/>
    <col min="5" max="5" width="33" style="8" customWidth="1"/>
    <col min="6" max="7" width="21.5703125" style="8" customWidth="1"/>
    <col min="8" max="8" width="28.5703125" style="8" customWidth="1"/>
    <col min="9" max="9" width="31" style="8" customWidth="1"/>
    <col min="10" max="10" width="20" style="8" customWidth="1"/>
    <col min="11" max="11" width="20.5703125" style="8" customWidth="1"/>
    <col min="12" max="12" width="28.5703125" style="8" customWidth="1"/>
    <col min="13" max="13" width="21.140625" style="8" customWidth="1"/>
    <col min="14" max="14" width="15.5703125" style="8" customWidth="1"/>
    <col min="15" max="15" width="26.7109375" style="8" customWidth="1"/>
    <col min="16" max="16" width="12.5703125" style="8" customWidth="1"/>
    <col min="17" max="17" width="18.140625" style="8" customWidth="1"/>
    <col min="18" max="16384" width="9.140625" style="8"/>
  </cols>
  <sheetData>
    <row r="1" spans="1:20" ht="15.75" x14ac:dyDescent="0.25">
      <c r="A1" s="20" t="s">
        <v>186</v>
      </c>
    </row>
    <row r="2" spans="1:20" ht="15.75" x14ac:dyDescent="0.25">
      <c r="A2" s="20" t="s">
        <v>1</v>
      </c>
      <c r="B2" s="20"/>
    </row>
    <row r="3" spans="1:20" ht="15.75" x14ac:dyDescent="0.25">
      <c r="A3" s="20" t="s">
        <v>185</v>
      </c>
      <c r="B3" s="20"/>
    </row>
    <row r="4" spans="1:20" ht="15.75" x14ac:dyDescent="0.25">
      <c r="A4" s="36" t="s">
        <v>184</v>
      </c>
      <c r="B4" s="20"/>
    </row>
    <row r="5" spans="1:20" ht="15.75" x14ac:dyDescent="0.25">
      <c r="A5" s="20"/>
      <c r="B5" s="20"/>
    </row>
    <row r="6" spans="1:20" ht="15.75" customHeight="1" x14ac:dyDescent="0.25">
      <c r="A6" s="428" t="s">
        <v>3</v>
      </c>
      <c r="B6" s="428"/>
      <c r="C6" s="428"/>
      <c r="D6" s="429" t="s">
        <v>4</v>
      </c>
      <c r="E6" s="430" t="s">
        <v>5</v>
      </c>
      <c r="F6" s="430"/>
      <c r="G6" s="430"/>
      <c r="H6" s="430"/>
      <c r="I6" s="430"/>
      <c r="J6" s="430"/>
      <c r="K6" s="430"/>
      <c r="L6" s="430"/>
      <c r="M6" s="430"/>
      <c r="N6" s="431" t="s">
        <v>183</v>
      </c>
      <c r="O6" s="432"/>
      <c r="P6" s="431" t="s">
        <v>6</v>
      </c>
      <c r="Q6" s="432"/>
    </row>
    <row r="7" spans="1:20" ht="15.75" x14ac:dyDescent="0.25">
      <c r="A7" s="428"/>
      <c r="B7" s="428"/>
      <c r="C7" s="428"/>
      <c r="D7" s="429"/>
      <c r="E7" s="437" t="s">
        <v>7</v>
      </c>
      <c r="F7" s="438"/>
      <c r="G7" s="438"/>
      <c r="H7" s="439"/>
      <c r="I7" s="430" t="s">
        <v>8</v>
      </c>
      <c r="J7" s="430"/>
      <c r="K7" s="430"/>
      <c r="L7" s="430"/>
      <c r="M7" s="430"/>
      <c r="N7" s="433"/>
      <c r="O7" s="434"/>
      <c r="P7" s="433"/>
      <c r="Q7" s="434"/>
    </row>
    <row r="8" spans="1:20" s="35" customFormat="1" ht="30" x14ac:dyDescent="0.25">
      <c r="A8" s="428"/>
      <c r="B8" s="428"/>
      <c r="C8" s="428"/>
      <c r="D8" s="429"/>
      <c r="E8" s="88" t="s">
        <v>9</v>
      </c>
      <c r="F8" s="88" t="s">
        <v>10</v>
      </c>
      <c r="G8" s="88" t="s">
        <v>11</v>
      </c>
      <c r="H8" s="88" t="s">
        <v>12</v>
      </c>
      <c r="I8" s="88" t="s">
        <v>9</v>
      </c>
      <c r="J8" s="88" t="s">
        <v>10</v>
      </c>
      <c r="K8" s="88" t="s">
        <v>11</v>
      </c>
      <c r="L8" s="88" t="s">
        <v>13</v>
      </c>
      <c r="M8" s="88" t="s">
        <v>14</v>
      </c>
      <c r="N8" s="435"/>
      <c r="O8" s="436"/>
      <c r="P8" s="435"/>
      <c r="Q8" s="436"/>
    </row>
    <row r="9" spans="1:20" ht="15.75" x14ac:dyDescent="0.25">
      <c r="A9" s="30" t="s">
        <v>15</v>
      </c>
      <c r="B9" s="29"/>
      <c r="C9" s="31"/>
      <c r="D9" s="33">
        <f>'[31]Conso-SCNAE 2022'!H12</f>
        <v>197996036.94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20" x14ac:dyDescent="0.2">
      <c r="A10" s="27"/>
      <c r="B10" s="29"/>
      <c r="C10" s="31"/>
      <c r="D10" s="33"/>
      <c r="E10" s="34"/>
      <c r="F10" s="34"/>
      <c r="G10" s="34"/>
      <c r="H10" s="34"/>
      <c r="I10" s="33"/>
      <c r="J10" s="33"/>
      <c r="K10" s="33"/>
      <c r="L10" s="33"/>
      <c r="M10" s="33"/>
      <c r="N10" s="33"/>
      <c r="O10" s="33"/>
      <c r="P10" s="33"/>
      <c r="Q10" s="33"/>
      <c r="R10" s="24"/>
      <c r="S10" s="24"/>
      <c r="T10" s="24"/>
    </row>
    <row r="11" spans="1:20" s="20" customFormat="1" ht="15.75" x14ac:dyDescent="0.25">
      <c r="A11" s="30"/>
      <c r="B11" s="26" t="s">
        <v>16</v>
      </c>
      <c r="C11" s="89"/>
      <c r="D11" s="28"/>
      <c r="E11" s="28"/>
      <c r="F11" s="28"/>
      <c r="G11" s="28"/>
      <c r="H11" s="28">
        <f>SUM(H12:H21)</f>
        <v>0</v>
      </c>
      <c r="I11" s="28"/>
      <c r="J11" s="28"/>
      <c r="K11" s="28"/>
      <c r="L11" s="28"/>
      <c r="M11" s="28"/>
      <c r="N11" s="28"/>
      <c r="O11" s="28"/>
      <c r="P11" s="28"/>
      <c r="Q11" s="28"/>
      <c r="R11" s="23"/>
      <c r="S11" s="23"/>
      <c r="T11" s="23"/>
    </row>
    <row r="12" spans="1:20" x14ac:dyDescent="0.2">
      <c r="A12" s="27"/>
      <c r="B12" s="29"/>
      <c r="C12" s="31" t="s">
        <v>17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4"/>
      <c r="S12" s="24"/>
      <c r="T12" s="24"/>
    </row>
    <row r="13" spans="1:20" x14ac:dyDescent="0.2">
      <c r="A13" s="27"/>
      <c r="B13" s="29"/>
      <c r="C13" s="25" t="s">
        <v>151</v>
      </c>
      <c r="D13" s="33"/>
      <c r="E13" s="33"/>
      <c r="F13" s="33"/>
      <c r="G13" s="33"/>
      <c r="H13" s="33"/>
      <c r="I13" s="33"/>
      <c r="J13" s="33">
        <f>D13</f>
        <v>0</v>
      </c>
      <c r="K13" s="33"/>
      <c r="L13" s="33">
        <f>J13</f>
        <v>0</v>
      </c>
      <c r="M13" s="33"/>
      <c r="N13" s="90"/>
      <c r="P13" s="33"/>
      <c r="Q13" s="33"/>
      <c r="R13" s="24"/>
      <c r="S13" s="24"/>
      <c r="T13" s="24"/>
    </row>
    <row r="14" spans="1:20" x14ac:dyDescent="0.2">
      <c r="A14" s="27"/>
      <c r="B14" s="29"/>
      <c r="C14" s="25" t="s">
        <v>182</v>
      </c>
      <c r="D14" s="33"/>
      <c r="E14" s="33"/>
      <c r="F14" s="33"/>
      <c r="G14" s="33"/>
      <c r="H14" s="33">
        <f>+G14-F14</f>
        <v>0</v>
      </c>
      <c r="I14" s="33"/>
      <c r="J14" s="33"/>
      <c r="K14" s="33"/>
      <c r="L14" s="33">
        <f>+J14-K14</f>
        <v>0</v>
      </c>
      <c r="M14" s="33"/>
      <c r="N14" s="33"/>
      <c r="O14" s="33"/>
      <c r="P14" s="33"/>
      <c r="Q14" s="33"/>
      <c r="R14" s="24"/>
      <c r="S14" s="24"/>
      <c r="T14" s="24"/>
    </row>
    <row r="15" spans="1:20" x14ac:dyDescent="0.2">
      <c r="A15" s="27"/>
      <c r="B15" s="29"/>
      <c r="C15" s="25" t="s">
        <v>181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4"/>
      <c r="S15" s="24"/>
      <c r="T15" s="24"/>
    </row>
    <row r="16" spans="1:20" x14ac:dyDescent="0.2">
      <c r="A16" s="27"/>
      <c r="B16" s="29"/>
      <c r="C16" s="31" t="s">
        <v>180</v>
      </c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4"/>
      <c r="S16" s="24"/>
      <c r="T16" s="24"/>
    </row>
    <row r="17" spans="1:20" x14ac:dyDescent="0.2">
      <c r="A17" s="27"/>
      <c r="B17" s="29"/>
      <c r="C17" s="25" t="s">
        <v>179</v>
      </c>
      <c r="D17" s="33"/>
      <c r="E17" s="33"/>
      <c r="F17" s="33"/>
      <c r="G17" s="33"/>
      <c r="H17" s="33"/>
      <c r="I17" s="33"/>
      <c r="J17" s="33"/>
      <c r="K17" s="33"/>
      <c r="L17" s="33"/>
      <c r="M17" s="33">
        <f>+K17-J17</f>
        <v>0</v>
      </c>
      <c r="N17" s="33"/>
      <c r="O17" s="33"/>
      <c r="P17" s="33"/>
      <c r="Q17" s="33"/>
      <c r="R17" s="24"/>
      <c r="S17" s="24"/>
      <c r="T17" s="24"/>
    </row>
    <row r="18" spans="1:20" x14ac:dyDescent="0.2">
      <c r="A18" s="27"/>
      <c r="B18" s="29"/>
      <c r="C18" s="25" t="s">
        <v>178</v>
      </c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24"/>
      <c r="S18" s="24"/>
      <c r="T18" s="24"/>
    </row>
    <row r="19" spans="1:20" x14ac:dyDescent="0.2">
      <c r="A19" s="27"/>
      <c r="B19" s="29"/>
      <c r="C19" s="25" t="s">
        <v>177</v>
      </c>
      <c r="D19" s="33"/>
      <c r="E19" s="33"/>
      <c r="F19" s="33"/>
      <c r="G19" s="33"/>
      <c r="H19" s="33">
        <f>G19</f>
        <v>0</v>
      </c>
      <c r="I19" s="33"/>
      <c r="J19" s="33"/>
      <c r="K19" s="33"/>
      <c r="L19" s="33"/>
      <c r="M19" s="33"/>
      <c r="N19" s="33"/>
      <c r="O19" s="33"/>
      <c r="P19" s="33"/>
      <c r="Q19" s="33"/>
      <c r="R19" s="24"/>
      <c r="S19" s="24"/>
      <c r="T19" s="24"/>
    </row>
    <row r="20" spans="1:20" x14ac:dyDescent="0.2">
      <c r="A20" s="27"/>
      <c r="B20" s="29"/>
      <c r="C20" s="32" t="s">
        <v>176</v>
      </c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4"/>
      <c r="S20" s="24"/>
      <c r="T20" s="24"/>
    </row>
    <row r="21" spans="1:20" x14ac:dyDescent="0.2">
      <c r="A21" s="27"/>
      <c r="B21" s="29"/>
      <c r="C21" s="25" t="s">
        <v>175</v>
      </c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24"/>
      <c r="S21" s="24"/>
      <c r="T21" s="24"/>
    </row>
    <row r="22" spans="1:20" x14ac:dyDescent="0.2">
      <c r="A22" s="27"/>
      <c r="B22" s="29"/>
      <c r="C22" s="25" t="s">
        <v>138</v>
      </c>
      <c r="D22" s="33">
        <v>713188.46</v>
      </c>
      <c r="E22" s="33"/>
      <c r="F22" s="33"/>
      <c r="G22" s="33"/>
      <c r="H22" s="33"/>
      <c r="I22" s="33" t="s">
        <v>174</v>
      </c>
      <c r="J22" s="33">
        <v>713188.46</v>
      </c>
      <c r="K22" s="33"/>
      <c r="L22" s="33"/>
      <c r="M22" s="33">
        <f>+K22-J22</f>
        <v>-713188.46</v>
      </c>
      <c r="N22" s="33"/>
      <c r="O22" s="33"/>
      <c r="P22" s="33" t="s">
        <v>126</v>
      </c>
      <c r="Q22" s="33">
        <v>713188.46</v>
      </c>
      <c r="R22" s="24"/>
      <c r="S22" s="24"/>
      <c r="T22" s="24"/>
    </row>
    <row r="23" spans="1:20" s="20" customFormat="1" ht="15.75" x14ac:dyDescent="0.25">
      <c r="A23" s="30"/>
      <c r="B23" s="26" t="s">
        <v>23</v>
      </c>
      <c r="C23" s="89"/>
      <c r="D23" s="28"/>
      <c r="E23" s="28">
        <f>SUM(E24:E33)</f>
        <v>0</v>
      </c>
      <c r="F23" s="28"/>
      <c r="G23" s="28"/>
      <c r="H23" s="28">
        <f>SUM(H24:H44)</f>
        <v>-136317090.89000002</v>
      </c>
      <c r="I23" s="28"/>
      <c r="J23" s="28"/>
      <c r="K23" s="28"/>
      <c r="L23" s="28"/>
      <c r="M23" s="28"/>
      <c r="N23" s="28"/>
      <c r="O23" s="28"/>
      <c r="P23" s="28"/>
      <c r="Q23" s="28"/>
      <c r="R23" s="23"/>
      <c r="S23" s="23"/>
      <c r="T23" s="23"/>
    </row>
    <row r="24" spans="1:20" x14ac:dyDescent="0.2">
      <c r="A24" s="27"/>
      <c r="B24" s="29"/>
      <c r="C24" s="31" t="s">
        <v>24</v>
      </c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4"/>
      <c r="S24" s="24"/>
      <c r="T24" s="24"/>
    </row>
    <row r="25" spans="1:20" x14ac:dyDescent="0.2">
      <c r="A25" s="27"/>
      <c r="B25" s="29"/>
      <c r="C25" s="25" t="s">
        <v>139</v>
      </c>
      <c r="D25" s="33">
        <f>H25</f>
        <v>-5458382.25</v>
      </c>
      <c r="E25" s="33" t="s">
        <v>29</v>
      </c>
      <c r="F25" s="33">
        <v>5458382.25</v>
      </c>
      <c r="G25" s="33"/>
      <c r="H25" s="33">
        <f t="shared" ref="H25:H32" si="0">-(+F25-G25)</f>
        <v>-5458382.25</v>
      </c>
      <c r="I25" s="34" t="s">
        <v>114</v>
      </c>
      <c r="J25" s="34"/>
      <c r="K25" s="91">
        <v>5458382.25</v>
      </c>
      <c r="L25" s="34"/>
      <c r="M25" s="33">
        <f>+K25-J25</f>
        <v>5458382.25</v>
      </c>
      <c r="N25" s="33"/>
      <c r="O25" s="33"/>
      <c r="P25" s="33"/>
      <c r="Q25" s="33"/>
      <c r="R25" s="24"/>
      <c r="S25" s="24"/>
      <c r="T25" s="24"/>
    </row>
    <row r="26" spans="1:20" x14ac:dyDescent="0.2">
      <c r="A26" s="27"/>
      <c r="B26" s="29"/>
      <c r="C26" s="25" t="s">
        <v>140</v>
      </c>
      <c r="D26" s="33">
        <f>H26</f>
        <v>-103507.5</v>
      </c>
      <c r="E26" s="33" t="s">
        <v>173</v>
      </c>
      <c r="F26" s="33">
        <v>103507.5</v>
      </c>
      <c r="G26" s="33"/>
      <c r="H26" s="33">
        <f t="shared" si="0"/>
        <v>-103507.5</v>
      </c>
      <c r="I26" s="34" t="s">
        <v>114</v>
      </c>
      <c r="J26" s="34"/>
      <c r="K26" s="91">
        <v>103507.5</v>
      </c>
      <c r="L26" s="34"/>
      <c r="M26" s="33">
        <f>+K26-J26</f>
        <v>103507.5</v>
      </c>
      <c r="N26" s="33"/>
      <c r="O26" s="33"/>
      <c r="P26" s="33"/>
      <c r="Q26" s="33"/>
      <c r="R26" s="24"/>
      <c r="S26" s="24"/>
      <c r="T26" s="24"/>
    </row>
    <row r="27" spans="1:20" x14ac:dyDescent="0.2">
      <c r="A27" s="27"/>
      <c r="B27" s="29"/>
      <c r="C27" s="25" t="s">
        <v>141</v>
      </c>
      <c r="D27" s="33">
        <f>H27</f>
        <v>-58.44</v>
      </c>
      <c r="E27" s="33" t="s">
        <v>53</v>
      </c>
      <c r="F27" s="33">
        <v>58.44</v>
      </c>
      <c r="G27" s="33"/>
      <c r="H27" s="33">
        <f t="shared" si="0"/>
        <v>-58.44</v>
      </c>
      <c r="I27" s="34" t="s">
        <v>114</v>
      </c>
      <c r="J27" s="34"/>
      <c r="K27" s="91">
        <v>58.44</v>
      </c>
      <c r="L27" s="34"/>
      <c r="M27" s="33">
        <f>+K27-J27</f>
        <v>58.44</v>
      </c>
      <c r="N27" s="33"/>
      <c r="O27" s="33"/>
      <c r="P27" s="33"/>
      <c r="Q27" s="33"/>
      <c r="R27" s="24"/>
      <c r="S27" s="24"/>
      <c r="T27" s="24"/>
    </row>
    <row r="28" spans="1:20" x14ac:dyDescent="0.2">
      <c r="A28" s="27"/>
      <c r="B28" s="29"/>
      <c r="C28" s="25" t="s">
        <v>142</v>
      </c>
      <c r="D28" s="33">
        <f>H28</f>
        <v>-534100</v>
      </c>
      <c r="E28" s="33" t="s">
        <v>43</v>
      </c>
      <c r="F28" s="33">
        <v>534100</v>
      </c>
      <c r="G28" s="33"/>
      <c r="H28" s="33">
        <f t="shared" si="0"/>
        <v>-534100</v>
      </c>
      <c r="I28" s="34" t="s">
        <v>114</v>
      </c>
      <c r="J28" s="34"/>
      <c r="K28" s="91">
        <v>534100</v>
      </c>
      <c r="L28" s="34"/>
      <c r="M28" s="33">
        <f>+K28-J28</f>
        <v>534100</v>
      </c>
      <c r="N28" s="33"/>
      <c r="O28" s="33"/>
      <c r="P28" s="33"/>
      <c r="Q28" s="33"/>
      <c r="R28" s="24"/>
      <c r="S28" s="24"/>
      <c r="T28" s="24"/>
    </row>
    <row r="29" spans="1:20" ht="17.25" x14ac:dyDescent="0.3">
      <c r="A29" s="27"/>
      <c r="B29" s="29"/>
      <c r="C29" s="25" t="s">
        <v>143</v>
      </c>
      <c r="D29" s="33">
        <f>L29</f>
        <v>-23685</v>
      </c>
      <c r="E29" s="33"/>
      <c r="F29" s="33"/>
      <c r="G29" s="92"/>
      <c r="H29" s="33">
        <f t="shared" si="0"/>
        <v>0</v>
      </c>
      <c r="I29" s="33" t="s">
        <v>172</v>
      </c>
      <c r="J29" s="92"/>
      <c r="K29" s="33">
        <v>23685</v>
      </c>
      <c r="L29" s="33">
        <f>J29-K29</f>
        <v>-23685</v>
      </c>
      <c r="M29" s="33"/>
      <c r="N29" s="33"/>
      <c r="O29" s="33"/>
      <c r="P29" s="93"/>
      <c r="Q29" s="33">
        <v>-23685</v>
      </c>
      <c r="R29" s="24"/>
      <c r="S29" s="24"/>
      <c r="T29" s="24"/>
    </row>
    <row r="30" spans="1:20" x14ac:dyDescent="0.2">
      <c r="A30" s="27"/>
      <c r="B30" s="29"/>
      <c r="C30" s="25" t="s">
        <v>144</v>
      </c>
      <c r="D30" s="33">
        <f>Q30</f>
        <v>-271741.58</v>
      </c>
      <c r="E30" s="33"/>
      <c r="F30" s="33"/>
      <c r="G30" s="33"/>
      <c r="H30" s="33">
        <f t="shared" si="0"/>
        <v>0</v>
      </c>
      <c r="I30" s="33" t="s">
        <v>171</v>
      </c>
      <c r="J30" s="33"/>
      <c r="K30" s="33">
        <v>271741.58</v>
      </c>
      <c r="L30" s="33">
        <f>J30-K30</f>
        <v>-271741.58</v>
      </c>
      <c r="M30" s="33"/>
      <c r="N30" s="33"/>
      <c r="O30" s="33"/>
      <c r="P30" s="33"/>
      <c r="Q30" s="33">
        <v>-271741.58</v>
      </c>
      <c r="R30" s="24"/>
      <c r="S30" s="24"/>
      <c r="T30" s="24"/>
    </row>
    <row r="31" spans="1:20" x14ac:dyDescent="0.2">
      <c r="A31" s="27"/>
      <c r="B31" s="29"/>
      <c r="C31" s="25" t="s">
        <v>145</v>
      </c>
      <c r="D31" s="33">
        <f>H31+Q31</f>
        <v>-400603.9</v>
      </c>
      <c r="E31" s="33"/>
      <c r="F31" s="33"/>
      <c r="G31" s="33"/>
      <c r="H31" s="33">
        <f t="shared" si="0"/>
        <v>0</v>
      </c>
      <c r="I31" s="33" t="s">
        <v>170</v>
      </c>
      <c r="J31" s="33"/>
      <c r="K31" s="33">
        <f>371803.9+28800</f>
        <v>400603.9</v>
      </c>
      <c r="L31" s="33">
        <f>J31-K31</f>
        <v>-400603.9</v>
      </c>
      <c r="M31" s="33"/>
      <c r="N31" s="33"/>
      <c r="O31" s="33"/>
      <c r="P31" s="33"/>
      <c r="Q31" s="33">
        <f>-28800-371803.9</f>
        <v>-400603.9</v>
      </c>
      <c r="R31" s="24"/>
      <c r="S31" s="24"/>
      <c r="T31" s="24"/>
    </row>
    <row r="32" spans="1:20" x14ac:dyDescent="0.2">
      <c r="A32" s="27"/>
      <c r="B32" s="29"/>
      <c r="C32" s="25" t="s">
        <v>146</v>
      </c>
      <c r="D32" s="33">
        <f>Q32</f>
        <v>-8780</v>
      </c>
      <c r="E32" s="33"/>
      <c r="F32" s="33"/>
      <c r="G32" s="33"/>
      <c r="H32" s="33">
        <f t="shared" si="0"/>
        <v>0</v>
      </c>
      <c r="I32" s="33" t="s">
        <v>169</v>
      </c>
      <c r="J32" s="33"/>
      <c r="K32" s="33">
        <v>8780</v>
      </c>
      <c r="L32" s="33">
        <f>J32-K32</f>
        <v>-8780</v>
      </c>
      <c r="M32" s="33"/>
      <c r="N32" s="33"/>
      <c r="O32" s="33"/>
      <c r="P32" s="33"/>
      <c r="Q32" s="33">
        <v>-8780</v>
      </c>
      <c r="R32" s="24"/>
      <c r="S32" s="24"/>
      <c r="T32" s="24"/>
    </row>
    <row r="33" spans="1:20" x14ac:dyDescent="0.2">
      <c r="A33" s="27"/>
      <c r="B33" s="29"/>
      <c r="C33" s="31" t="s">
        <v>71</v>
      </c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4"/>
      <c r="S33" s="24"/>
      <c r="T33" s="24"/>
    </row>
    <row r="34" spans="1:20" x14ac:dyDescent="0.2">
      <c r="A34" s="27"/>
      <c r="B34" s="29"/>
      <c r="C34" s="25" t="s">
        <v>147</v>
      </c>
      <c r="D34" s="33">
        <f>H34</f>
        <v>100</v>
      </c>
      <c r="E34" s="33" t="s">
        <v>29</v>
      </c>
      <c r="F34" s="33"/>
      <c r="G34" s="94">
        <v>100</v>
      </c>
      <c r="H34" s="33">
        <f>-(+F34-G34)</f>
        <v>100</v>
      </c>
      <c r="I34" s="33" t="s">
        <v>114</v>
      </c>
      <c r="J34" s="33">
        <v>100</v>
      </c>
      <c r="K34" s="33"/>
      <c r="L34" s="33"/>
      <c r="M34" s="33">
        <f>+K34-J34</f>
        <v>-100</v>
      </c>
      <c r="N34" s="33"/>
      <c r="O34" s="33"/>
      <c r="P34" s="93"/>
      <c r="Q34" s="33"/>
      <c r="R34" s="24"/>
      <c r="S34" s="24"/>
      <c r="T34" s="24"/>
    </row>
    <row r="35" spans="1:20" x14ac:dyDescent="0.2">
      <c r="A35" s="27"/>
      <c r="B35" s="29"/>
      <c r="C35" s="25" t="s">
        <v>148</v>
      </c>
      <c r="D35" s="33">
        <f>H35</f>
        <v>38480</v>
      </c>
      <c r="E35" s="33" t="s">
        <v>43</v>
      </c>
      <c r="F35" s="33"/>
      <c r="G35" s="94">
        <v>38480</v>
      </c>
      <c r="H35" s="33">
        <f>-(+F35-G35)</f>
        <v>38480</v>
      </c>
      <c r="I35" s="33" t="s">
        <v>114</v>
      </c>
      <c r="J35" s="33">
        <v>38480</v>
      </c>
      <c r="K35" s="33"/>
      <c r="L35" s="33"/>
      <c r="M35" s="33">
        <f>+K35-J35</f>
        <v>-38480</v>
      </c>
      <c r="N35" s="33"/>
      <c r="O35" s="33"/>
      <c r="P35" s="33"/>
      <c r="Q35" s="33"/>
      <c r="R35" s="24"/>
      <c r="S35" s="24"/>
      <c r="T35" s="24"/>
    </row>
    <row r="36" spans="1:20" x14ac:dyDescent="0.2">
      <c r="A36" s="27"/>
      <c r="B36" s="29"/>
      <c r="C36" s="25" t="s">
        <v>149</v>
      </c>
      <c r="D36" s="33">
        <f>H36</f>
        <v>204010.52</v>
      </c>
      <c r="E36" s="33" t="s">
        <v>53</v>
      </c>
      <c r="F36" s="33"/>
      <c r="G36" s="94">
        <v>204010.52</v>
      </c>
      <c r="H36" s="33">
        <f>-(+F36-G36)</f>
        <v>204010.52</v>
      </c>
      <c r="I36" s="33" t="s">
        <v>114</v>
      </c>
      <c r="J36" s="33">
        <v>204010.52</v>
      </c>
      <c r="K36" s="33"/>
      <c r="L36" s="33"/>
      <c r="M36" s="33">
        <f>+K36-J36</f>
        <v>-204010.52</v>
      </c>
      <c r="N36" s="33"/>
      <c r="O36" s="33"/>
      <c r="P36" s="33"/>
      <c r="Q36" s="33"/>
      <c r="R36" s="24"/>
      <c r="S36" s="24"/>
      <c r="T36" s="24"/>
    </row>
    <row r="37" spans="1:20" x14ac:dyDescent="0.2">
      <c r="A37" s="27"/>
      <c r="B37" s="29"/>
      <c r="C37" s="25" t="s">
        <v>168</v>
      </c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4"/>
      <c r="S37" s="24"/>
      <c r="T37" s="24"/>
    </row>
    <row r="38" spans="1:20" s="20" customFormat="1" ht="17.25" x14ac:dyDescent="0.3">
      <c r="A38" s="30"/>
      <c r="B38" s="26"/>
      <c r="C38" s="25" t="s">
        <v>150</v>
      </c>
      <c r="D38" s="33">
        <f>Q38</f>
        <v>82792.240000000005</v>
      </c>
      <c r="E38" s="33"/>
      <c r="F38" s="92"/>
      <c r="G38" s="94"/>
      <c r="H38" s="33">
        <f>-(+F38-G38)</f>
        <v>0</v>
      </c>
      <c r="I38" s="33" t="s">
        <v>167</v>
      </c>
      <c r="J38" s="33">
        <v>82792.240000000005</v>
      </c>
      <c r="K38" s="33"/>
      <c r="L38" s="33">
        <f>J38-K38</f>
        <v>82792.240000000005</v>
      </c>
      <c r="M38" s="28"/>
      <c r="N38" s="28"/>
      <c r="O38" s="28"/>
      <c r="P38" s="28"/>
      <c r="Q38" s="33">
        <v>82792.240000000005</v>
      </c>
      <c r="R38" s="23"/>
      <c r="S38" s="23"/>
      <c r="T38" s="23"/>
    </row>
    <row r="39" spans="1:20" s="20" customFormat="1" ht="15.75" x14ac:dyDescent="0.25">
      <c r="A39" s="30"/>
      <c r="B39" s="26"/>
      <c r="C39" s="29" t="s">
        <v>87</v>
      </c>
      <c r="D39" s="28"/>
      <c r="E39" s="28"/>
      <c r="F39" s="28"/>
      <c r="G39" s="28"/>
      <c r="H39" s="33"/>
      <c r="I39" s="28"/>
      <c r="J39" s="28"/>
      <c r="K39" s="28"/>
      <c r="L39" s="28"/>
      <c r="M39" s="28"/>
      <c r="N39" s="28"/>
      <c r="O39" s="28"/>
      <c r="P39" s="28"/>
      <c r="Q39" s="28"/>
      <c r="R39" s="23"/>
      <c r="S39" s="23"/>
      <c r="T39" s="23"/>
    </row>
    <row r="40" spans="1:20" ht="15.75" x14ac:dyDescent="0.25">
      <c r="A40" s="27"/>
      <c r="B40" s="26"/>
      <c r="C40" s="25" t="s">
        <v>166</v>
      </c>
      <c r="D40" s="95"/>
      <c r="E40" s="96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24"/>
      <c r="S40" s="24"/>
      <c r="T40" s="24"/>
    </row>
    <row r="41" spans="1:20" ht="15.75" x14ac:dyDescent="0.25">
      <c r="A41" s="27"/>
      <c r="B41" s="26"/>
      <c r="C41" s="25" t="s">
        <v>136</v>
      </c>
      <c r="D41" s="33">
        <f>H41</f>
        <v>1891690.2000000002</v>
      </c>
      <c r="E41" s="96" t="s">
        <v>34</v>
      </c>
      <c r="F41" s="33"/>
      <c r="G41" s="33">
        <v>1891690.2000000002</v>
      </c>
      <c r="H41" s="33">
        <f>-(+F41-G41)</f>
        <v>1891690.2000000002</v>
      </c>
      <c r="I41" s="33" t="s">
        <v>164</v>
      </c>
      <c r="J41" s="33">
        <v>1891690.2000000002</v>
      </c>
      <c r="K41" s="33"/>
      <c r="L41" s="33">
        <f>J41-K41</f>
        <v>1891690.2000000002</v>
      </c>
      <c r="M41" s="33"/>
      <c r="N41" s="33"/>
      <c r="O41" s="33"/>
      <c r="P41" s="33"/>
      <c r="Q41" s="33"/>
      <c r="R41" s="24"/>
      <c r="S41" s="24"/>
      <c r="T41" s="24"/>
    </row>
    <row r="42" spans="1:20" ht="15.75" x14ac:dyDescent="0.25">
      <c r="A42" s="27"/>
      <c r="B42" s="26"/>
      <c r="C42" s="25" t="s">
        <v>165</v>
      </c>
      <c r="D42" s="95"/>
      <c r="E42" s="96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24"/>
      <c r="S42" s="24"/>
      <c r="T42" s="24"/>
    </row>
    <row r="43" spans="1:20" ht="15.75" x14ac:dyDescent="0.25">
      <c r="A43" s="27"/>
      <c r="B43" s="26"/>
      <c r="C43" s="25" t="s">
        <v>137</v>
      </c>
      <c r="D43" s="33">
        <v>-0.18</v>
      </c>
      <c r="E43" s="96"/>
      <c r="F43" s="33"/>
      <c r="G43" s="33"/>
      <c r="H43" s="33">
        <f>-(+F43-G43)</f>
        <v>0</v>
      </c>
      <c r="I43" s="33" t="s">
        <v>89</v>
      </c>
      <c r="J43" s="33"/>
      <c r="K43" s="33">
        <v>0.18</v>
      </c>
      <c r="L43" s="33">
        <f>J43-K43</f>
        <v>-0.18</v>
      </c>
      <c r="M43" s="33"/>
      <c r="N43" s="33"/>
      <c r="O43" s="33"/>
      <c r="P43" s="33"/>
      <c r="Q43" s="33">
        <v>-0.18</v>
      </c>
      <c r="R43" s="24"/>
      <c r="S43" s="24"/>
      <c r="T43" s="24"/>
    </row>
    <row r="44" spans="1:20" ht="15.75" x14ac:dyDescent="0.25">
      <c r="A44" s="27"/>
      <c r="B44" s="26"/>
      <c r="C44" s="25" t="s">
        <v>96</v>
      </c>
      <c r="D44" s="33">
        <f>H44</f>
        <v>-132355323.42</v>
      </c>
      <c r="E44" s="96" t="s">
        <v>34</v>
      </c>
      <c r="F44" s="33">
        <v>132355323.42</v>
      </c>
      <c r="G44" s="33"/>
      <c r="H44" s="33">
        <f>-(+F44-G44)</f>
        <v>-132355323.42</v>
      </c>
      <c r="I44" s="33" t="s">
        <v>164</v>
      </c>
      <c r="J44" s="33"/>
      <c r="K44" s="33">
        <v>132355323.42</v>
      </c>
      <c r="L44" s="33">
        <f>J44-K44</f>
        <v>-132355323.42</v>
      </c>
      <c r="M44" s="33"/>
      <c r="N44" s="33"/>
      <c r="O44" s="33"/>
      <c r="P44" s="33"/>
      <c r="Q44" s="33"/>
      <c r="R44" s="24"/>
      <c r="S44" s="24"/>
      <c r="T44" s="24"/>
    </row>
    <row r="45" spans="1:20" s="20" customFormat="1" ht="15.75" x14ac:dyDescent="0.25">
      <c r="A45" s="30" t="s">
        <v>163</v>
      </c>
      <c r="B45" s="26"/>
      <c r="C45" s="89"/>
      <c r="D45" s="28">
        <f>SUM(D9:D44)</f>
        <v>61770116.089999989</v>
      </c>
      <c r="E45" s="28">
        <f>E9+E39+E23+E11</f>
        <v>0</v>
      </c>
      <c r="F45" s="28"/>
      <c r="G45" s="28"/>
      <c r="H45" s="28">
        <f>H23</f>
        <v>-136317090.89000002</v>
      </c>
      <c r="I45" s="28">
        <f>SUM(I12:I44)</f>
        <v>0</v>
      </c>
      <c r="J45" s="28"/>
      <c r="K45" s="28"/>
      <c r="L45" s="28">
        <f>SUM(L12:L44)</f>
        <v>-131085651.64</v>
      </c>
      <c r="M45" s="28">
        <f>SUM(M11:M44)</f>
        <v>5140269.2100000009</v>
      </c>
      <c r="N45" s="28"/>
      <c r="O45" s="28">
        <f>SUM(O11:O44)</f>
        <v>0</v>
      </c>
      <c r="P45" s="28"/>
      <c r="Q45" s="28">
        <f>SUM(Q11:Q44)</f>
        <v>91170.039999999935</v>
      </c>
      <c r="R45" s="23"/>
      <c r="S45" s="23"/>
      <c r="T45" s="23"/>
    </row>
    <row r="46" spans="1:20" x14ac:dyDescent="0.2">
      <c r="A46" s="21" t="s">
        <v>162</v>
      </c>
      <c r="D46" s="22"/>
      <c r="E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</row>
    <row r="47" spans="1:20" ht="15.75" x14ac:dyDescent="0.25">
      <c r="A47" s="21"/>
      <c r="C47" s="20" t="s">
        <v>116</v>
      </c>
      <c r="E47" s="20" t="s">
        <v>161</v>
      </c>
      <c r="I47" s="20" t="s">
        <v>160</v>
      </c>
      <c r="J47" s="24"/>
      <c r="K47" s="24"/>
      <c r="L47" s="24"/>
      <c r="M47" s="20"/>
      <c r="N47" s="20"/>
      <c r="O47" s="20"/>
      <c r="P47" s="19" t="s">
        <v>159</v>
      </c>
      <c r="Q47" s="24"/>
      <c r="R47" s="24"/>
      <c r="S47" s="24"/>
      <c r="T47" s="24"/>
    </row>
    <row r="48" spans="1:20" x14ac:dyDescent="0.2">
      <c r="C48" s="18" t="s">
        <v>120</v>
      </c>
      <c r="D48" s="24">
        <f>D45</f>
        <v>61770116.089999989</v>
      </c>
      <c r="I48" s="24"/>
      <c r="J48" s="97" t="s">
        <v>121</v>
      </c>
      <c r="K48" s="17"/>
      <c r="L48" s="24">
        <f>L45</f>
        <v>-131085651.64</v>
      </c>
      <c r="M48" s="24"/>
      <c r="N48" s="24"/>
      <c r="O48" s="24"/>
      <c r="P48" s="24"/>
      <c r="Q48" s="24"/>
      <c r="R48" s="24"/>
      <c r="S48" s="24"/>
      <c r="T48" s="24"/>
    </row>
    <row r="49" spans="3:20" x14ac:dyDescent="0.2">
      <c r="C49" s="18" t="s">
        <v>122</v>
      </c>
      <c r="D49" s="24">
        <f>D9</f>
        <v>197996036.94</v>
      </c>
      <c r="I49" s="24"/>
      <c r="J49" s="97" t="s">
        <v>123</v>
      </c>
      <c r="K49" s="17"/>
      <c r="L49" s="24">
        <f>M45</f>
        <v>5140269.2100000009</v>
      </c>
      <c r="M49" s="24"/>
      <c r="N49" s="24"/>
      <c r="O49" s="24"/>
      <c r="P49" s="24"/>
      <c r="Q49" s="24"/>
      <c r="R49" s="24"/>
      <c r="S49" s="24"/>
      <c r="T49" s="24"/>
    </row>
    <row r="50" spans="3:20" ht="15.75" x14ac:dyDescent="0.25">
      <c r="C50" s="16" t="s">
        <v>124</v>
      </c>
      <c r="D50" s="23">
        <f>+D48-D49</f>
        <v>-136225920.85000002</v>
      </c>
      <c r="E50" s="15" t="s">
        <v>125</v>
      </c>
      <c r="H50" s="14">
        <f>+H45</f>
        <v>-136317090.89000002</v>
      </c>
      <c r="I50" s="24"/>
      <c r="J50" s="97" t="s">
        <v>126</v>
      </c>
      <c r="K50" s="13"/>
      <c r="L50" s="23"/>
      <c r="M50" s="24"/>
      <c r="N50" s="24"/>
      <c r="O50" s="24">
        <f>O45</f>
        <v>0</v>
      </c>
      <c r="P50" s="23" t="s">
        <v>126</v>
      </c>
      <c r="Q50" s="23">
        <f>Q45</f>
        <v>91170.039999999935</v>
      </c>
      <c r="R50" s="24"/>
      <c r="S50" s="24"/>
      <c r="T50" s="24"/>
    </row>
    <row r="51" spans="3:20" ht="15.75" x14ac:dyDescent="0.25">
      <c r="I51" s="24"/>
      <c r="J51" s="98" t="s">
        <v>127</v>
      </c>
      <c r="K51" s="23"/>
      <c r="L51" s="23">
        <f>L48-L49</f>
        <v>-136225920.84999999</v>
      </c>
      <c r="M51" s="23"/>
      <c r="N51" s="23"/>
      <c r="O51" s="23">
        <f>+L48-L49-O50</f>
        <v>-136225920.84999999</v>
      </c>
      <c r="P51" s="24"/>
      <c r="Q51" s="24"/>
      <c r="R51" s="24"/>
      <c r="S51" s="24"/>
      <c r="T51" s="24"/>
    </row>
    <row r="52" spans="3:20" ht="15.75" x14ac:dyDescent="0.25">
      <c r="I52" s="24"/>
      <c r="J52" s="98"/>
      <c r="K52" s="23"/>
      <c r="L52" s="23"/>
      <c r="M52" s="23"/>
      <c r="N52" s="23"/>
      <c r="O52" s="23"/>
      <c r="P52" s="24"/>
      <c r="Q52" s="24"/>
      <c r="R52" s="24"/>
      <c r="S52" s="24"/>
      <c r="T52" s="24"/>
    </row>
    <row r="53" spans="3:20" ht="15.75" x14ac:dyDescent="0.25">
      <c r="H53" s="12"/>
      <c r="I53" s="24"/>
      <c r="J53" s="98"/>
      <c r="K53" s="23"/>
      <c r="L53" s="23"/>
      <c r="M53" s="23"/>
      <c r="N53" s="23"/>
      <c r="O53" s="23"/>
      <c r="P53" s="24"/>
      <c r="Q53" s="24"/>
      <c r="R53" s="24"/>
      <c r="S53" s="24"/>
      <c r="T53" s="24"/>
    </row>
    <row r="54" spans="3:20" x14ac:dyDescent="0.2">
      <c r="C54" s="8" t="s">
        <v>130</v>
      </c>
      <c r="F54" s="8" t="s">
        <v>158</v>
      </c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</row>
    <row r="55" spans="3:20" x14ac:dyDescent="0.2"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</row>
    <row r="56" spans="3:20" x14ac:dyDescent="0.2"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</row>
    <row r="57" spans="3:20" x14ac:dyDescent="0.2">
      <c r="C57" s="86" t="s">
        <v>157</v>
      </c>
      <c r="G57" s="440" t="s">
        <v>132</v>
      </c>
      <c r="H57" s="440"/>
      <c r="I57" s="24"/>
      <c r="J57" s="24"/>
      <c r="K57" s="24"/>
    </row>
    <row r="58" spans="3:20" hidden="1" x14ac:dyDescent="0.2">
      <c r="C58" s="87" t="s">
        <v>156</v>
      </c>
      <c r="I58" s="24"/>
      <c r="J58" s="24"/>
      <c r="K58" s="24"/>
    </row>
    <row r="59" spans="3:20" x14ac:dyDescent="0.2">
      <c r="C59" s="87" t="s">
        <v>155</v>
      </c>
      <c r="G59" s="441" t="s">
        <v>134</v>
      </c>
      <c r="H59" s="441"/>
      <c r="I59" s="24"/>
      <c r="J59" s="24"/>
      <c r="K59" s="24"/>
    </row>
    <row r="61" spans="3:20" x14ac:dyDescent="0.2">
      <c r="C61" s="11"/>
      <c r="D61" s="99"/>
    </row>
    <row r="62" spans="3:20" x14ac:dyDescent="0.2">
      <c r="C62" s="10"/>
      <c r="D62" s="99">
        <f>D45</f>
        <v>61770116.089999989</v>
      </c>
      <c r="E62" s="100"/>
    </row>
    <row r="63" spans="3:20" x14ac:dyDescent="0.2">
      <c r="C63" s="10"/>
      <c r="D63" s="101" t="e">
        <f>#REF!</f>
        <v>#REF!</v>
      </c>
      <c r="E63" s="100"/>
    </row>
    <row r="64" spans="3:20" x14ac:dyDescent="0.2">
      <c r="D64" s="99" t="e">
        <f>D62-D63</f>
        <v>#REF!</v>
      </c>
      <c r="E64" s="9"/>
    </row>
  </sheetData>
  <mergeCells count="9">
    <mergeCell ref="G57:H57"/>
    <mergeCell ref="G59:H59"/>
    <mergeCell ref="A6:C8"/>
    <mergeCell ref="D6:D8"/>
    <mergeCell ref="E6:M6"/>
    <mergeCell ref="N6:O8"/>
    <mergeCell ref="P6:Q8"/>
    <mergeCell ref="E7:H7"/>
    <mergeCell ref="I7:M7"/>
  </mergeCells>
  <printOptions horizontalCentered="1"/>
  <pageMargins left="0.23622047244094499" right="0.23622047244094499" top="0.74803149606299202" bottom="0.74803149606299202" header="0.31496062992126" footer="0.31496062992126"/>
  <pageSetup paperSize="9" scale="34" fitToHeight="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1"/>
  <sheetViews>
    <sheetView view="pageBreakPreview" zoomScale="85" zoomScaleNormal="85" zoomScaleSheetLayoutView="85" workbookViewId="0">
      <selection activeCell="G44" sqref="G44"/>
    </sheetView>
  </sheetViews>
  <sheetFormatPr defaultColWidth="9.140625" defaultRowHeight="15" x14ac:dyDescent="0.2"/>
  <cols>
    <col min="1" max="1" width="2.28515625" style="38" customWidth="1"/>
    <col min="2" max="2" width="4.42578125" style="38" customWidth="1"/>
    <col min="3" max="3" width="70.5703125" style="38" bestFit="1" customWidth="1"/>
    <col min="4" max="4" width="24.85546875" style="39" customWidth="1"/>
    <col min="5" max="5" width="33" style="38" bestFit="1" customWidth="1"/>
    <col min="6" max="6" width="18.28515625" style="38" bestFit="1" customWidth="1"/>
    <col min="7" max="7" width="14.28515625" style="38" bestFit="1" customWidth="1"/>
    <col min="8" max="8" width="19.5703125" style="38" customWidth="1"/>
    <col min="9" max="9" width="22.28515625" style="38" customWidth="1"/>
    <col min="10" max="10" width="18.140625" style="38" bestFit="1" customWidth="1"/>
    <col min="11" max="11" width="18.28515625" style="38" bestFit="1" customWidth="1"/>
    <col min="12" max="12" width="20.42578125" style="38" customWidth="1"/>
    <col min="13" max="13" width="12.42578125" style="38" customWidth="1"/>
    <col min="14" max="14" width="15.42578125" style="38" hidden="1" customWidth="1"/>
    <col min="15" max="15" width="24.28515625" style="38" hidden="1" customWidth="1"/>
    <col min="16" max="16" width="15.28515625" style="38" customWidth="1"/>
    <col min="17" max="17" width="14" style="38" customWidth="1"/>
    <col min="18" max="16384" width="9.140625" style="38"/>
  </cols>
  <sheetData>
    <row r="1" spans="1:20" ht="15.75" x14ac:dyDescent="0.25">
      <c r="A1" s="37" t="s">
        <v>0</v>
      </c>
    </row>
    <row r="2" spans="1:20" ht="15.75" x14ac:dyDescent="0.25">
      <c r="A2" s="37" t="s">
        <v>1</v>
      </c>
      <c r="B2" s="37"/>
    </row>
    <row r="3" spans="1:20" ht="15.75" x14ac:dyDescent="0.25">
      <c r="A3" s="37" t="str">
        <f>' FC 7 2024'!B3</f>
        <v>As of MARCH 31, 2024</v>
      </c>
      <c r="B3" s="37"/>
    </row>
    <row r="4" spans="1:20" ht="15.75" x14ac:dyDescent="0.25">
      <c r="A4" s="37" t="s">
        <v>298</v>
      </c>
      <c r="B4" s="37"/>
    </row>
    <row r="5" spans="1:20" ht="15.75" x14ac:dyDescent="0.25">
      <c r="A5" s="37"/>
      <c r="B5" s="37"/>
    </row>
    <row r="6" spans="1:20" ht="15.75" customHeight="1" x14ac:dyDescent="0.25">
      <c r="A6" s="442" t="s">
        <v>3</v>
      </c>
      <c r="B6" s="442"/>
      <c r="C6" s="442"/>
      <c r="D6" s="443" t="s">
        <v>4</v>
      </c>
      <c r="E6" s="444" t="s">
        <v>5</v>
      </c>
      <c r="F6" s="444"/>
      <c r="G6" s="444"/>
      <c r="H6" s="444"/>
      <c r="I6" s="444"/>
      <c r="J6" s="444"/>
      <c r="K6" s="444"/>
      <c r="L6" s="444"/>
      <c r="M6" s="444"/>
      <c r="N6" s="445" t="s">
        <v>183</v>
      </c>
      <c r="O6" s="446"/>
      <c r="P6" s="445" t="s">
        <v>241</v>
      </c>
      <c r="Q6" s="446"/>
    </row>
    <row r="7" spans="1:20" ht="15.75" x14ac:dyDescent="0.25">
      <c r="A7" s="442"/>
      <c r="B7" s="442"/>
      <c r="C7" s="442"/>
      <c r="D7" s="443"/>
      <c r="E7" s="451" t="s">
        <v>7</v>
      </c>
      <c r="F7" s="452"/>
      <c r="G7" s="452"/>
      <c r="H7" s="453"/>
      <c r="I7" s="444" t="s">
        <v>8</v>
      </c>
      <c r="J7" s="444"/>
      <c r="K7" s="444"/>
      <c r="L7" s="444"/>
      <c r="M7" s="444"/>
      <c r="N7" s="447"/>
      <c r="O7" s="448"/>
      <c r="P7" s="447"/>
      <c r="Q7" s="448"/>
    </row>
    <row r="8" spans="1:20" s="41" customFormat="1" ht="45" x14ac:dyDescent="0.25">
      <c r="A8" s="442"/>
      <c r="B8" s="442"/>
      <c r="C8" s="442"/>
      <c r="D8" s="443"/>
      <c r="E8" s="40" t="s">
        <v>9</v>
      </c>
      <c r="F8" s="40" t="s">
        <v>10</v>
      </c>
      <c r="G8" s="40" t="s">
        <v>11</v>
      </c>
      <c r="H8" s="40" t="s">
        <v>12</v>
      </c>
      <c r="I8" s="40" t="s">
        <v>9</v>
      </c>
      <c r="J8" s="40" t="s">
        <v>10</v>
      </c>
      <c r="K8" s="40" t="s">
        <v>11</v>
      </c>
      <c r="L8" s="40" t="s">
        <v>13</v>
      </c>
      <c r="M8" s="40" t="s">
        <v>14</v>
      </c>
      <c r="N8" s="449"/>
      <c r="O8" s="450"/>
      <c r="P8" s="449"/>
      <c r="Q8" s="450"/>
    </row>
    <row r="9" spans="1:20" ht="15.75" x14ac:dyDescent="0.25">
      <c r="A9" s="42" t="str">
        <f>'FC1 2024'!A9:C9</f>
        <v>Accumulated Surplus/(Deficit), Beginning Balance 1/1/2024</v>
      </c>
      <c r="B9" s="43"/>
      <c r="C9" s="44"/>
      <c r="D9" s="45">
        <v>11000000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</row>
    <row r="10" spans="1:20" hidden="1" x14ac:dyDescent="0.2">
      <c r="A10" s="47"/>
      <c r="B10" s="43"/>
      <c r="C10" s="44"/>
      <c r="D10" s="45"/>
      <c r="E10" s="46"/>
      <c r="F10" s="46"/>
      <c r="G10" s="46"/>
      <c r="H10" s="46"/>
      <c r="I10" s="45"/>
      <c r="J10" s="45"/>
      <c r="K10" s="45"/>
      <c r="L10" s="45"/>
      <c r="M10" s="45"/>
      <c r="N10" s="45"/>
      <c r="O10" s="45"/>
      <c r="P10" s="45"/>
      <c r="Q10" s="45"/>
      <c r="R10" s="39"/>
      <c r="S10" s="39"/>
      <c r="T10" s="39"/>
    </row>
    <row r="11" spans="1:20" s="37" customFormat="1" ht="15.75" hidden="1" x14ac:dyDescent="0.25">
      <c r="A11" s="42"/>
      <c r="B11" s="48" t="s">
        <v>16</v>
      </c>
      <c r="C11" s="49"/>
      <c r="D11" s="50"/>
      <c r="E11" s="50"/>
      <c r="F11" s="50"/>
      <c r="G11" s="50"/>
      <c r="H11" s="50">
        <f>SUM(H12:H19)</f>
        <v>0</v>
      </c>
      <c r="I11" s="50"/>
      <c r="J11" s="50"/>
      <c r="K11" s="50"/>
      <c r="L11" s="50"/>
      <c r="M11" s="50"/>
      <c r="N11" s="50"/>
      <c r="O11" s="50"/>
      <c r="P11" s="50"/>
      <c r="Q11" s="50"/>
      <c r="R11" s="51"/>
      <c r="S11" s="51"/>
      <c r="T11" s="51"/>
    </row>
    <row r="12" spans="1:20" hidden="1" x14ac:dyDescent="0.2">
      <c r="A12" s="47"/>
      <c r="B12" s="43"/>
      <c r="C12" s="44" t="s">
        <v>17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39"/>
      <c r="S12" s="39"/>
      <c r="T12" s="39"/>
    </row>
    <row r="13" spans="1:20" ht="15.75" hidden="1" x14ac:dyDescent="0.25">
      <c r="A13" s="47"/>
      <c r="B13" s="43"/>
      <c r="C13" s="52" t="s">
        <v>151</v>
      </c>
      <c r="D13" s="50"/>
      <c r="E13" s="45" t="s">
        <v>188</v>
      </c>
      <c r="F13" s="45"/>
      <c r="G13" s="45"/>
      <c r="H13" s="45">
        <f>+G13-F13</f>
        <v>0</v>
      </c>
      <c r="I13" s="45" t="s">
        <v>189</v>
      </c>
      <c r="J13" s="45"/>
      <c r="K13" s="45"/>
      <c r="L13" s="45">
        <f>+J13-K13</f>
        <v>0</v>
      </c>
      <c r="M13" s="45"/>
      <c r="N13" s="53"/>
      <c r="O13" s="45"/>
      <c r="P13" s="45"/>
      <c r="Q13" s="45"/>
      <c r="R13" s="39"/>
      <c r="S13" s="39"/>
      <c r="T13" s="39"/>
    </row>
    <row r="14" spans="1:20" ht="15.75" hidden="1" x14ac:dyDescent="0.25">
      <c r="A14" s="47"/>
      <c r="B14" s="43"/>
      <c r="C14" s="52" t="s">
        <v>190</v>
      </c>
      <c r="D14" s="50"/>
      <c r="E14" s="45" t="s">
        <v>191</v>
      </c>
      <c r="F14" s="45"/>
      <c r="G14" s="45"/>
      <c r="H14" s="45">
        <f t="shared" ref="H14:H18" si="0">+G14-F14</f>
        <v>0</v>
      </c>
      <c r="I14" s="45" t="s">
        <v>189</v>
      </c>
      <c r="J14" s="45"/>
      <c r="K14" s="45"/>
      <c r="L14" s="45">
        <f>+J14-K14</f>
        <v>0</v>
      </c>
      <c r="M14" s="45"/>
      <c r="N14" s="45"/>
      <c r="O14" s="45"/>
      <c r="P14" s="45"/>
      <c r="Q14" s="45"/>
      <c r="R14" s="39"/>
      <c r="S14" s="39"/>
      <c r="T14" s="39"/>
    </row>
    <row r="15" spans="1:20" ht="15.75" hidden="1" x14ac:dyDescent="0.25">
      <c r="A15" s="47"/>
      <c r="B15" s="43"/>
      <c r="C15" s="52" t="s">
        <v>181</v>
      </c>
      <c r="D15" s="50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39"/>
      <c r="S15" s="39"/>
      <c r="T15" s="39"/>
    </row>
    <row r="16" spans="1:20" ht="15.75" hidden="1" x14ac:dyDescent="0.25">
      <c r="A16" s="47"/>
      <c r="B16" s="43"/>
      <c r="C16" s="44" t="s">
        <v>180</v>
      </c>
      <c r="D16" s="50"/>
      <c r="E16" s="45"/>
      <c r="F16" s="45"/>
      <c r="G16" s="45"/>
      <c r="H16" s="45">
        <f t="shared" si="0"/>
        <v>0</v>
      </c>
      <c r="I16" s="45"/>
      <c r="J16" s="45"/>
      <c r="K16" s="45"/>
      <c r="L16" s="45"/>
      <c r="M16" s="45"/>
      <c r="N16" s="45"/>
      <c r="O16" s="45"/>
      <c r="P16" s="45"/>
      <c r="Q16" s="45"/>
      <c r="R16" s="39"/>
      <c r="S16" s="39"/>
      <c r="T16" s="39"/>
    </row>
    <row r="17" spans="1:20" ht="15.75" hidden="1" x14ac:dyDescent="0.25">
      <c r="A17" s="47"/>
      <c r="B17" s="43"/>
      <c r="C17" s="52" t="s">
        <v>179</v>
      </c>
      <c r="D17" s="50"/>
      <c r="E17" s="45" t="s">
        <v>192</v>
      </c>
      <c r="F17" s="45"/>
      <c r="G17" s="45"/>
      <c r="H17" s="45">
        <f t="shared" si="0"/>
        <v>0</v>
      </c>
      <c r="I17" s="45" t="s">
        <v>114</v>
      </c>
      <c r="J17" s="45"/>
      <c r="K17" s="45"/>
      <c r="L17" s="45"/>
      <c r="M17" s="45">
        <f>+K17-J17</f>
        <v>0</v>
      </c>
      <c r="N17" s="45"/>
      <c r="O17" s="45"/>
      <c r="P17" s="45"/>
      <c r="Q17" s="45"/>
      <c r="R17" s="39"/>
      <c r="S17" s="39"/>
      <c r="T17" s="39"/>
    </row>
    <row r="18" spans="1:20" ht="15.75" hidden="1" x14ac:dyDescent="0.25">
      <c r="A18" s="47"/>
      <c r="B18" s="43"/>
      <c r="C18" s="52" t="s">
        <v>178</v>
      </c>
      <c r="D18" s="50"/>
      <c r="E18" s="45" t="s">
        <v>191</v>
      </c>
      <c r="F18" s="45"/>
      <c r="G18" s="45"/>
      <c r="H18" s="45">
        <f t="shared" si="0"/>
        <v>0</v>
      </c>
      <c r="I18" s="45" t="s">
        <v>189</v>
      </c>
      <c r="J18" s="45"/>
      <c r="K18" s="45"/>
      <c r="L18" s="45">
        <f>+J18-K18</f>
        <v>0</v>
      </c>
      <c r="M18" s="45"/>
      <c r="N18" s="45"/>
      <c r="O18" s="45"/>
      <c r="P18" s="45"/>
      <c r="Q18" s="45"/>
      <c r="R18" s="39"/>
      <c r="S18" s="39"/>
      <c r="T18" s="39"/>
    </row>
    <row r="19" spans="1:20" ht="15.75" hidden="1" x14ac:dyDescent="0.25">
      <c r="A19" s="47"/>
      <c r="B19" s="43"/>
      <c r="C19" s="52" t="s">
        <v>181</v>
      </c>
      <c r="D19" s="50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39"/>
      <c r="S19" s="39"/>
      <c r="T19" s="39"/>
    </row>
    <row r="20" spans="1:20" s="37" customFormat="1" ht="15.75" hidden="1" x14ac:dyDescent="0.25">
      <c r="A20" s="42"/>
      <c r="B20" s="48" t="s">
        <v>23</v>
      </c>
      <c r="C20" s="49"/>
      <c r="D20" s="50"/>
      <c r="E20" s="50">
        <f>SUM(E21:E25)</f>
        <v>0</v>
      </c>
      <c r="F20" s="50"/>
      <c r="G20" s="50"/>
      <c r="H20" s="50">
        <f>SUM(H21:H34)</f>
        <v>0</v>
      </c>
      <c r="I20" s="50"/>
      <c r="J20" s="50"/>
      <c r="K20" s="50"/>
      <c r="L20" s="50">
        <v>0</v>
      </c>
      <c r="M20" s="50"/>
      <c r="N20" s="50"/>
      <c r="O20" s="50"/>
      <c r="P20" s="50"/>
      <c r="Q20" s="50"/>
      <c r="R20" s="51"/>
      <c r="S20" s="51"/>
      <c r="T20" s="51"/>
    </row>
    <row r="21" spans="1:20" ht="15.75" hidden="1" x14ac:dyDescent="0.25">
      <c r="A21" s="47"/>
      <c r="B21" s="43"/>
      <c r="C21" s="44" t="s">
        <v>24</v>
      </c>
      <c r="D21" s="50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39"/>
      <c r="S21" s="39"/>
      <c r="T21" s="39"/>
    </row>
    <row r="22" spans="1:20" ht="15.75" hidden="1" x14ac:dyDescent="0.25">
      <c r="A22" s="47"/>
      <c r="B22" s="43"/>
      <c r="C22" s="52" t="s">
        <v>193</v>
      </c>
      <c r="D22" s="50"/>
      <c r="E22" s="45" t="s">
        <v>194</v>
      </c>
      <c r="F22" s="45"/>
      <c r="G22" s="45"/>
      <c r="H22" s="45">
        <f>+F22-G22</f>
        <v>0</v>
      </c>
      <c r="I22" s="45" t="s">
        <v>114</v>
      </c>
      <c r="J22" s="45"/>
      <c r="K22" s="45"/>
      <c r="L22" s="45"/>
      <c r="M22" s="45">
        <f>+K22-J22</f>
        <v>0</v>
      </c>
      <c r="N22" s="45"/>
      <c r="O22" s="45"/>
      <c r="P22" s="45"/>
      <c r="Q22" s="45"/>
      <c r="R22" s="39"/>
      <c r="S22" s="39"/>
      <c r="T22" s="39"/>
    </row>
    <row r="23" spans="1:20" hidden="1" x14ac:dyDescent="0.2">
      <c r="A23" s="47"/>
      <c r="B23" s="43"/>
      <c r="C23" s="52" t="s">
        <v>195</v>
      </c>
      <c r="D23" s="45"/>
      <c r="E23" s="45"/>
      <c r="F23" s="45"/>
      <c r="G23" s="45"/>
      <c r="H23" s="45">
        <f t="shared" ref="H23:H32" si="1">+F23-G23</f>
        <v>0</v>
      </c>
      <c r="I23" s="45" t="s">
        <v>196</v>
      </c>
      <c r="J23" s="45"/>
      <c r="K23" s="45"/>
      <c r="L23" s="45">
        <f>-K23</f>
        <v>0</v>
      </c>
      <c r="M23" s="45">
        <f t="shared" ref="M23" si="2">+K23-J23</f>
        <v>0</v>
      </c>
      <c r="N23" s="45"/>
      <c r="O23" s="45"/>
      <c r="P23" s="45"/>
      <c r="Q23" s="45"/>
      <c r="R23" s="39"/>
      <c r="S23" s="39"/>
      <c r="T23" s="39"/>
    </row>
    <row r="24" spans="1:20" ht="15.75" hidden="1" x14ac:dyDescent="0.25">
      <c r="A24" s="47"/>
      <c r="B24" s="43"/>
      <c r="C24" s="52" t="s">
        <v>181</v>
      </c>
      <c r="D24" s="50"/>
      <c r="E24" s="45"/>
      <c r="F24" s="45"/>
      <c r="G24" s="45"/>
      <c r="H24" s="45">
        <f t="shared" si="1"/>
        <v>0</v>
      </c>
      <c r="I24" s="45"/>
      <c r="J24" s="45"/>
      <c r="K24" s="45"/>
      <c r="L24" s="45"/>
      <c r="M24" s="45"/>
      <c r="N24" s="45"/>
      <c r="O24" s="45"/>
      <c r="P24" s="45"/>
      <c r="Q24" s="45"/>
      <c r="R24" s="39"/>
      <c r="S24" s="39"/>
      <c r="T24" s="39"/>
    </row>
    <row r="25" spans="1:20" ht="15.75" hidden="1" x14ac:dyDescent="0.25">
      <c r="A25" s="47"/>
      <c r="B25" s="43"/>
      <c r="C25" s="44" t="s">
        <v>71</v>
      </c>
      <c r="D25" s="50"/>
      <c r="E25" s="45"/>
      <c r="F25" s="45"/>
      <c r="G25" s="45"/>
      <c r="H25" s="45">
        <f t="shared" si="1"/>
        <v>0</v>
      </c>
      <c r="I25" s="45"/>
      <c r="J25" s="45"/>
      <c r="K25" s="45"/>
      <c r="L25" s="45"/>
      <c r="M25" s="45"/>
      <c r="N25" s="45"/>
      <c r="O25" s="45"/>
      <c r="P25" s="45"/>
      <c r="Q25" s="45"/>
      <c r="R25" s="39"/>
      <c r="S25" s="39"/>
      <c r="T25" s="39"/>
    </row>
    <row r="26" spans="1:20" ht="15.75" hidden="1" x14ac:dyDescent="0.25">
      <c r="A26" s="47"/>
      <c r="B26" s="43"/>
      <c r="C26" s="52" t="s">
        <v>168</v>
      </c>
      <c r="D26" s="50"/>
      <c r="E26" s="45" t="s">
        <v>197</v>
      </c>
      <c r="F26" s="45"/>
      <c r="G26" s="45"/>
      <c r="H26" s="45">
        <f t="shared" si="1"/>
        <v>0</v>
      </c>
      <c r="I26" s="45" t="s">
        <v>198</v>
      </c>
      <c r="J26" s="45"/>
      <c r="K26" s="45"/>
      <c r="L26" s="45">
        <f>+J26-K26</f>
        <v>0</v>
      </c>
      <c r="M26" s="45"/>
      <c r="N26" s="45"/>
      <c r="O26" s="45"/>
      <c r="P26" s="45"/>
      <c r="Q26" s="45"/>
      <c r="R26" s="39"/>
      <c r="S26" s="39"/>
      <c r="T26" s="39"/>
    </row>
    <row r="27" spans="1:20" s="37" customFormat="1" ht="15.75" hidden="1" x14ac:dyDescent="0.25">
      <c r="A27" s="42"/>
      <c r="B27" s="48"/>
      <c r="C27" s="52" t="s">
        <v>181</v>
      </c>
      <c r="D27" s="50"/>
      <c r="E27" s="50"/>
      <c r="F27" s="50"/>
      <c r="G27" s="50"/>
      <c r="H27" s="45">
        <f t="shared" si="1"/>
        <v>0</v>
      </c>
      <c r="I27" s="50"/>
      <c r="J27" s="50"/>
      <c r="K27" s="50"/>
      <c r="L27" s="50"/>
      <c r="M27" s="50"/>
      <c r="N27" s="50"/>
      <c r="O27" s="50"/>
      <c r="P27" s="50"/>
      <c r="Q27" s="50"/>
      <c r="R27" s="51"/>
      <c r="S27" s="51"/>
      <c r="T27" s="51"/>
    </row>
    <row r="28" spans="1:20" s="37" customFormat="1" ht="15.75" hidden="1" x14ac:dyDescent="0.25">
      <c r="A28" s="42"/>
      <c r="B28" s="48"/>
      <c r="C28" s="43" t="s">
        <v>87</v>
      </c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1"/>
      <c r="S28" s="51"/>
      <c r="T28" s="51"/>
    </row>
    <row r="29" spans="1:20" ht="15.75" hidden="1" x14ac:dyDescent="0.25">
      <c r="A29" s="47"/>
      <c r="B29" s="48"/>
      <c r="C29" s="52" t="s">
        <v>166</v>
      </c>
      <c r="D29" s="54"/>
      <c r="E29" s="55" t="s">
        <v>199</v>
      </c>
      <c r="F29" s="45"/>
      <c r="G29" s="45"/>
      <c r="H29" s="45">
        <f t="shared" si="1"/>
        <v>0</v>
      </c>
      <c r="I29" s="45" t="s">
        <v>91</v>
      </c>
      <c r="J29" s="45"/>
      <c r="K29" s="45"/>
      <c r="L29" s="45">
        <f>+J29-K29</f>
        <v>0</v>
      </c>
      <c r="M29" s="45"/>
      <c r="N29" s="45"/>
      <c r="O29" s="45"/>
      <c r="P29" s="45"/>
      <c r="Q29" s="45"/>
      <c r="R29" s="39"/>
      <c r="S29" s="39"/>
      <c r="T29" s="39"/>
    </row>
    <row r="30" spans="1:20" ht="15.75" hidden="1" x14ac:dyDescent="0.25">
      <c r="A30" s="47"/>
      <c r="B30" s="48"/>
      <c r="C30" s="52" t="s">
        <v>200</v>
      </c>
      <c r="D30" s="56"/>
      <c r="E30" s="55" t="s">
        <v>199</v>
      </c>
      <c r="F30" s="45">
        <f>D30</f>
        <v>0</v>
      </c>
      <c r="G30" s="45"/>
      <c r="H30" s="45">
        <f t="shared" si="1"/>
        <v>0</v>
      </c>
      <c r="I30" s="45" t="s">
        <v>89</v>
      </c>
      <c r="J30" s="45"/>
      <c r="K30" s="45">
        <f>F30</f>
        <v>0</v>
      </c>
      <c r="L30" s="45">
        <v>0</v>
      </c>
      <c r="M30" s="45"/>
      <c r="N30" s="45"/>
      <c r="O30" s="45"/>
      <c r="P30" s="45"/>
      <c r="Q30" s="45"/>
      <c r="R30" s="39"/>
      <c r="S30" s="39"/>
      <c r="T30" s="39"/>
    </row>
    <row r="31" spans="1:20" ht="15.75" hidden="1" x14ac:dyDescent="0.25">
      <c r="A31" s="47"/>
      <c r="B31" s="48"/>
      <c r="C31" s="52" t="s">
        <v>137</v>
      </c>
      <c r="D31" s="54"/>
      <c r="E31" s="5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 t="s">
        <v>126</v>
      </c>
      <c r="Q31" s="45"/>
      <c r="R31" s="39"/>
      <c r="S31" s="39"/>
      <c r="T31" s="39"/>
    </row>
    <row r="32" spans="1:20" ht="15.75" hidden="1" x14ac:dyDescent="0.25">
      <c r="A32" s="47"/>
      <c r="B32" s="48"/>
      <c r="C32" s="52" t="s">
        <v>181</v>
      </c>
      <c r="D32" s="45"/>
      <c r="E32" s="45"/>
      <c r="F32" s="45"/>
      <c r="G32" s="45"/>
      <c r="H32" s="45">
        <f t="shared" si="1"/>
        <v>0</v>
      </c>
      <c r="I32" s="45"/>
      <c r="J32" s="45"/>
      <c r="K32" s="45"/>
      <c r="L32" s="45"/>
      <c r="M32" s="45"/>
      <c r="N32" s="45"/>
      <c r="O32" s="45"/>
      <c r="P32" s="45"/>
      <c r="Q32" s="45"/>
      <c r="R32" s="39"/>
      <c r="S32" s="39"/>
      <c r="T32" s="39"/>
    </row>
    <row r="33" spans="1:20" ht="15.75" x14ac:dyDescent="0.25">
      <c r="A33" s="47"/>
      <c r="B33" s="48" t="s">
        <v>176</v>
      </c>
      <c r="C33" s="52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39"/>
      <c r="S33" s="39"/>
      <c r="T33" s="39"/>
    </row>
    <row r="34" spans="1:20" ht="15.75" x14ac:dyDescent="0.25">
      <c r="A34" s="47"/>
      <c r="B34" s="48"/>
      <c r="C34" s="52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205">
        <f>D34</f>
        <v>0</v>
      </c>
      <c r="Q34" s="45"/>
      <c r="R34" s="39"/>
      <c r="S34" s="39"/>
      <c r="T34" s="39"/>
    </row>
    <row r="35" spans="1:20" s="37" customFormat="1" ht="15.75" x14ac:dyDescent="0.25">
      <c r="A35" s="42" t="str">
        <f>'FC1 2024'!A117</f>
        <v>Balance as of March 31, 2024</v>
      </c>
      <c r="B35" s="48"/>
      <c r="C35" s="49"/>
      <c r="D35" s="50">
        <f>SUM(D9:D34)</f>
        <v>11000000</v>
      </c>
      <c r="E35" s="50">
        <f>E9+E28+E20+E11</f>
        <v>0</v>
      </c>
      <c r="F35" s="50"/>
      <c r="G35" s="50"/>
      <c r="H35" s="50">
        <f>+H11+H20</f>
        <v>0</v>
      </c>
      <c r="I35" s="50">
        <f>SUM(I12:I32)</f>
        <v>0</v>
      </c>
      <c r="J35" s="50"/>
      <c r="K35" s="50"/>
      <c r="L35" s="50">
        <f>+L11+L20</f>
        <v>0</v>
      </c>
      <c r="M35" s="50">
        <f>SUM(M11:M32)</f>
        <v>0</v>
      </c>
      <c r="N35" s="50"/>
      <c r="O35" s="50">
        <f>SUM(O11:O32)</f>
        <v>0</v>
      </c>
      <c r="P35" s="50"/>
      <c r="Q35" s="50">
        <f>SUM(Q11:Q32)</f>
        <v>0</v>
      </c>
      <c r="R35" s="51"/>
      <c r="S35" s="51"/>
      <c r="T35" s="51"/>
    </row>
    <row r="36" spans="1:20" x14ac:dyDescent="0.2">
      <c r="A36" s="57" t="s">
        <v>162</v>
      </c>
      <c r="D36" s="39">
        <f>D35-[32]FC1SGE!$J$15</f>
        <v>0</v>
      </c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</row>
    <row r="37" spans="1:20" ht="15.75" x14ac:dyDescent="0.25">
      <c r="A37" s="57"/>
      <c r="C37" s="37" t="s">
        <v>116</v>
      </c>
      <c r="E37" s="37" t="s">
        <v>117</v>
      </c>
      <c r="I37" s="37" t="s">
        <v>118</v>
      </c>
      <c r="J37" s="39"/>
      <c r="K37" s="39"/>
      <c r="L37" s="39"/>
      <c r="M37" s="37"/>
      <c r="N37" s="37"/>
      <c r="O37" s="37"/>
      <c r="P37" s="58" t="s">
        <v>159</v>
      </c>
      <c r="Q37" s="39"/>
      <c r="R37" s="39"/>
      <c r="S37" s="39"/>
      <c r="T37" s="39"/>
    </row>
    <row r="38" spans="1:20" x14ac:dyDescent="0.2">
      <c r="C38" s="59" t="s">
        <v>120</v>
      </c>
      <c r="D38" s="39">
        <f>D35</f>
        <v>11000000</v>
      </c>
      <c r="I38" s="39"/>
      <c r="J38" s="60" t="s">
        <v>121</v>
      </c>
      <c r="K38" s="61"/>
      <c r="L38" s="39">
        <f>L35</f>
        <v>0</v>
      </c>
      <c r="M38" s="39"/>
      <c r="N38" s="39"/>
      <c r="O38" s="39"/>
      <c r="P38" s="39"/>
      <c r="Q38" s="39"/>
      <c r="R38" s="39"/>
      <c r="S38" s="39"/>
      <c r="T38" s="39"/>
    </row>
    <row r="39" spans="1:20" x14ac:dyDescent="0.2">
      <c r="C39" s="59" t="s">
        <v>122</v>
      </c>
      <c r="D39" s="39">
        <f>D9</f>
        <v>11000000</v>
      </c>
      <c r="I39" s="39"/>
      <c r="J39" s="60" t="s">
        <v>123</v>
      </c>
      <c r="K39" s="61"/>
      <c r="L39" s="39">
        <f>M35</f>
        <v>0</v>
      </c>
      <c r="M39" s="39"/>
      <c r="N39" s="39"/>
      <c r="O39" s="39"/>
      <c r="P39" s="39"/>
      <c r="Q39" s="39"/>
      <c r="R39" s="39"/>
      <c r="S39" s="39"/>
      <c r="T39" s="39"/>
    </row>
    <row r="40" spans="1:20" ht="15.75" x14ac:dyDescent="0.25">
      <c r="C40" s="62" t="s">
        <v>124</v>
      </c>
      <c r="D40" s="51">
        <f>+D38-D39</f>
        <v>0</v>
      </c>
      <c r="E40" s="63" t="s">
        <v>125</v>
      </c>
      <c r="H40" s="64">
        <f>+H35</f>
        <v>0</v>
      </c>
      <c r="I40" s="39"/>
      <c r="J40" s="60" t="s">
        <v>126</v>
      </c>
      <c r="K40" s="65"/>
      <c r="L40" s="51">
        <f>P34</f>
        <v>0</v>
      </c>
      <c r="M40" s="39"/>
      <c r="N40" s="39"/>
      <c r="O40" s="39">
        <f>L38-L39</f>
        <v>0</v>
      </c>
      <c r="P40" s="51" t="s">
        <v>126</v>
      </c>
      <c r="Q40" s="51"/>
      <c r="R40" s="39"/>
      <c r="S40" s="39"/>
      <c r="T40" s="39"/>
    </row>
    <row r="41" spans="1:20" ht="15.75" x14ac:dyDescent="0.25">
      <c r="I41" s="39"/>
      <c r="J41" s="66" t="s">
        <v>127</v>
      </c>
      <c r="K41" s="51"/>
      <c r="L41" s="51">
        <f>+L38-L39+L40</f>
        <v>0</v>
      </c>
      <c r="M41" s="51"/>
      <c r="N41" s="51"/>
      <c r="O41" s="51">
        <f>+L38-L39-O40</f>
        <v>0</v>
      </c>
      <c r="P41" s="39"/>
      <c r="Q41" s="39"/>
      <c r="R41" s="39"/>
      <c r="S41" s="39"/>
      <c r="T41" s="39"/>
    </row>
    <row r="42" spans="1:20" s="67" customFormat="1" x14ac:dyDescent="0.2">
      <c r="D42" s="68"/>
      <c r="I42" s="68"/>
      <c r="J42" s="68"/>
      <c r="K42" s="68"/>
      <c r="L42" s="68">
        <f>D40-L41</f>
        <v>0</v>
      </c>
      <c r="M42" s="68"/>
      <c r="N42" s="68"/>
      <c r="O42" s="68"/>
      <c r="P42" s="68"/>
      <c r="Q42" s="68"/>
      <c r="R42" s="68"/>
      <c r="S42" s="68"/>
      <c r="T42" s="68"/>
    </row>
    <row r="43" spans="1:20" s="67" customFormat="1" x14ac:dyDescent="0.2">
      <c r="D43" s="68"/>
      <c r="E43" s="69">
        <f>D35</f>
        <v>11000000</v>
      </c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</row>
    <row r="44" spans="1:20" s="67" customFormat="1" ht="15.75" x14ac:dyDescent="0.25">
      <c r="D44" s="68"/>
      <c r="E44" s="70">
        <f>[33]FC1SGE!$J$19</f>
        <v>1060847.8499999975</v>
      </c>
      <c r="I44" s="454"/>
      <c r="J44" s="454"/>
      <c r="K44" s="454"/>
      <c r="L44" s="454"/>
      <c r="M44" s="454"/>
      <c r="N44" s="454"/>
      <c r="O44" s="454"/>
      <c r="P44" s="454"/>
      <c r="Q44" s="454"/>
      <c r="R44" s="68"/>
      <c r="S44" s="68"/>
      <c r="T44" s="68"/>
    </row>
    <row r="45" spans="1:20" s="67" customFormat="1" hidden="1" x14ac:dyDescent="0.2">
      <c r="C45" s="71"/>
      <c r="D45" s="68"/>
      <c r="E45" s="72"/>
      <c r="I45" s="73"/>
      <c r="J45" s="73"/>
      <c r="K45" s="73"/>
      <c r="L45" s="73"/>
      <c r="M45" s="73"/>
      <c r="N45" s="73"/>
      <c r="O45" s="73"/>
      <c r="P45" s="73"/>
      <c r="Q45" s="73"/>
      <c r="R45" s="68"/>
      <c r="S45" s="68"/>
      <c r="T45" s="68"/>
    </row>
    <row r="46" spans="1:20" s="67" customFormat="1" x14ac:dyDescent="0.2">
      <c r="C46" s="71"/>
      <c r="D46" s="68"/>
      <c r="E46" s="69">
        <f>E43-E44</f>
        <v>9939152.1500000022</v>
      </c>
      <c r="I46" s="73"/>
      <c r="J46" s="73"/>
      <c r="K46" s="73"/>
      <c r="L46" s="73"/>
      <c r="M46" s="73"/>
      <c r="N46" s="73"/>
      <c r="O46" s="73"/>
      <c r="P46" s="73"/>
      <c r="Q46" s="73"/>
      <c r="R46" s="68"/>
      <c r="S46" s="68"/>
      <c r="T46" s="68"/>
    </row>
    <row r="47" spans="1:20" s="74" customFormat="1" ht="16.5" x14ac:dyDescent="0.3">
      <c r="D47" s="75" t="s">
        <v>130</v>
      </c>
      <c r="E47" s="76"/>
      <c r="J47" s="77"/>
      <c r="K47" s="3" t="s">
        <v>131</v>
      </c>
      <c r="L47" s="77"/>
      <c r="M47" s="77"/>
      <c r="N47" s="77"/>
      <c r="O47" s="77"/>
      <c r="P47" s="76" t="s">
        <v>201</v>
      </c>
      <c r="Q47" s="76">
        <f>22029704.73-16100096.25</f>
        <v>5929608.4800000004</v>
      </c>
      <c r="R47" s="76">
        <v>-16100096.25</v>
      </c>
      <c r="S47" s="76">
        <v>0</v>
      </c>
      <c r="T47" s="76">
        <v>22029704.73</v>
      </c>
    </row>
    <row r="48" spans="1:20" s="74" customFormat="1" ht="16.5" x14ac:dyDescent="0.3">
      <c r="E48" s="77"/>
      <c r="J48" s="77"/>
      <c r="K48" s="77"/>
      <c r="L48" s="77"/>
      <c r="M48" s="77"/>
      <c r="N48" s="77"/>
      <c r="O48" s="77"/>
      <c r="P48" s="76" t="s">
        <v>202</v>
      </c>
      <c r="Q48" s="78">
        <f>SUM(Q46:Q47)</f>
        <v>5929608.4800000004</v>
      </c>
      <c r="R48" s="76">
        <f>Q46+R47</f>
        <v>-16100096.25</v>
      </c>
      <c r="S48" s="76">
        <f>R48+S47</f>
        <v>-16100096.25</v>
      </c>
      <c r="T48" s="79">
        <f>S48+T47</f>
        <v>5929608.4800000004</v>
      </c>
    </row>
    <row r="49" spans="4:20" s="74" customFormat="1" ht="16.5" x14ac:dyDescent="0.3">
      <c r="E49" s="77"/>
      <c r="J49" s="77"/>
      <c r="K49" s="77"/>
      <c r="L49" s="77"/>
      <c r="M49" s="77"/>
      <c r="N49" s="77"/>
      <c r="O49" s="77"/>
      <c r="P49" s="76"/>
      <c r="Q49" s="76"/>
      <c r="R49" s="76"/>
      <c r="S49" s="76"/>
      <c r="T49" s="80"/>
    </row>
    <row r="50" spans="4:20" s="74" customFormat="1" ht="16.5" x14ac:dyDescent="0.3">
      <c r="D50" s="455" t="s">
        <v>255</v>
      </c>
      <c r="E50" s="455"/>
      <c r="F50" s="455"/>
      <c r="J50" s="81"/>
      <c r="K50" s="455" t="s">
        <v>132</v>
      </c>
      <c r="L50" s="455"/>
      <c r="M50" s="455"/>
      <c r="N50" s="81"/>
      <c r="O50" s="81"/>
      <c r="P50" s="82"/>
      <c r="Q50" s="76"/>
      <c r="R50" s="76"/>
      <c r="S50" s="76"/>
      <c r="T50" s="80"/>
    </row>
    <row r="51" spans="4:20" s="74" customFormat="1" ht="16.5" x14ac:dyDescent="0.3">
      <c r="D51" s="456" t="s">
        <v>133</v>
      </c>
      <c r="E51" s="456"/>
      <c r="F51" s="456"/>
      <c r="J51" s="83"/>
      <c r="K51" s="456" t="s">
        <v>134</v>
      </c>
      <c r="L51" s="456"/>
      <c r="M51" s="456"/>
      <c r="N51" s="83"/>
      <c r="O51" s="83"/>
      <c r="P51" s="83"/>
      <c r="Q51" s="77"/>
      <c r="R51" s="77"/>
      <c r="S51" s="77"/>
    </row>
  </sheetData>
  <mergeCells count="12">
    <mergeCell ref="I44:Q44"/>
    <mergeCell ref="D50:F50"/>
    <mergeCell ref="K50:M50"/>
    <mergeCell ref="D51:F51"/>
    <mergeCell ref="K51:M51"/>
    <mergeCell ref="A6:C8"/>
    <mergeCell ref="D6:D8"/>
    <mergeCell ref="E6:M6"/>
    <mergeCell ref="N6:O8"/>
    <mergeCell ref="P6:Q8"/>
    <mergeCell ref="E7:H7"/>
    <mergeCell ref="I7:M7"/>
  </mergeCells>
  <printOptions horizontalCentered="1"/>
  <pageMargins left="0" right="0" top="0.75" bottom="0.75" header="0.3" footer="0.3"/>
  <pageSetup paperSize="9" scale="4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zoomScale="85" zoomScaleNormal="85" zoomScaleSheetLayoutView="85" workbookViewId="0">
      <selection activeCell="J33" sqref="J33"/>
    </sheetView>
  </sheetViews>
  <sheetFormatPr defaultColWidth="9.140625" defaultRowHeight="15" x14ac:dyDescent="0.2"/>
  <cols>
    <col min="1" max="1" width="2.28515625" style="38" customWidth="1"/>
    <col min="2" max="2" width="4.42578125" style="38" customWidth="1"/>
    <col min="3" max="3" width="70.5703125" style="38" bestFit="1" customWidth="1"/>
    <col min="4" max="4" width="24.85546875" style="39" customWidth="1"/>
    <col min="5" max="5" width="33" style="38" bestFit="1" customWidth="1"/>
    <col min="6" max="6" width="18.28515625" style="38" bestFit="1" customWidth="1"/>
    <col min="7" max="7" width="14.28515625" style="38" bestFit="1" customWidth="1"/>
    <col min="8" max="8" width="19.5703125" style="38" customWidth="1"/>
    <col min="9" max="9" width="22.28515625" style="38" customWidth="1"/>
    <col min="10" max="10" width="18.140625" style="38" bestFit="1" customWidth="1"/>
    <col min="11" max="11" width="18.28515625" style="38" bestFit="1" customWidth="1"/>
    <col min="12" max="12" width="20.42578125" style="38" customWidth="1"/>
    <col min="13" max="13" width="12.42578125" style="38" customWidth="1"/>
    <col min="14" max="14" width="15.42578125" style="38" hidden="1" customWidth="1"/>
    <col min="15" max="15" width="24.28515625" style="38" hidden="1" customWidth="1"/>
    <col min="16" max="16" width="15.28515625" style="38" customWidth="1"/>
    <col min="17" max="17" width="17.7109375" style="38" customWidth="1"/>
    <col min="18" max="16384" width="9.140625" style="38"/>
  </cols>
  <sheetData>
    <row r="1" spans="1:20" ht="15.75" x14ac:dyDescent="0.25">
      <c r="A1" s="37" t="s">
        <v>0</v>
      </c>
    </row>
    <row r="2" spans="1:20" ht="15.75" x14ac:dyDescent="0.25">
      <c r="A2" s="37" t="s">
        <v>1</v>
      </c>
      <c r="B2" s="37"/>
    </row>
    <row r="3" spans="1:20" ht="15.75" x14ac:dyDescent="0.25">
      <c r="A3" s="37" t="str">
        <f>' FC 7 2024'!B3</f>
        <v>As of MARCH 31, 2024</v>
      </c>
      <c r="B3" s="37"/>
    </row>
    <row r="4" spans="1:20" ht="15.75" x14ac:dyDescent="0.25">
      <c r="A4" s="37" t="s">
        <v>187</v>
      </c>
      <c r="B4" s="37"/>
    </row>
    <row r="5" spans="1:20" ht="15.75" x14ac:dyDescent="0.25">
      <c r="A5" s="37"/>
      <c r="B5" s="37"/>
    </row>
    <row r="6" spans="1:20" ht="15.75" customHeight="1" x14ac:dyDescent="0.25">
      <c r="A6" s="442" t="s">
        <v>3</v>
      </c>
      <c r="B6" s="442"/>
      <c r="C6" s="442"/>
      <c r="D6" s="443" t="s">
        <v>4</v>
      </c>
      <c r="E6" s="444" t="s">
        <v>5</v>
      </c>
      <c r="F6" s="444"/>
      <c r="G6" s="444"/>
      <c r="H6" s="444"/>
      <c r="I6" s="444"/>
      <c r="J6" s="444"/>
      <c r="K6" s="444"/>
      <c r="L6" s="444"/>
      <c r="M6" s="444"/>
      <c r="N6" s="445" t="s">
        <v>183</v>
      </c>
      <c r="O6" s="446"/>
      <c r="P6" s="445" t="s">
        <v>241</v>
      </c>
      <c r="Q6" s="446"/>
    </row>
    <row r="7" spans="1:20" ht="15.75" x14ac:dyDescent="0.25">
      <c r="A7" s="442"/>
      <c r="B7" s="442"/>
      <c r="C7" s="442"/>
      <c r="D7" s="443"/>
      <c r="E7" s="451" t="s">
        <v>7</v>
      </c>
      <c r="F7" s="452"/>
      <c r="G7" s="452"/>
      <c r="H7" s="453"/>
      <c r="I7" s="444" t="s">
        <v>8</v>
      </c>
      <c r="J7" s="444"/>
      <c r="K7" s="444"/>
      <c r="L7" s="444"/>
      <c r="M7" s="444"/>
      <c r="N7" s="447"/>
      <c r="O7" s="448"/>
      <c r="P7" s="447"/>
      <c r="Q7" s="448"/>
    </row>
    <row r="8" spans="1:20" s="41" customFormat="1" ht="45" x14ac:dyDescent="0.25">
      <c r="A8" s="442"/>
      <c r="B8" s="442"/>
      <c r="C8" s="442"/>
      <c r="D8" s="443"/>
      <c r="E8" s="40" t="s">
        <v>9</v>
      </c>
      <c r="F8" s="40" t="s">
        <v>10</v>
      </c>
      <c r="G8" s="40" t="s">
        <v>11</v>
      </c>
      <c r="H8" s="40" t="s">
        <v>12</v>
      </c>
      <c r="I8" s="40" t="s">
        <v>9</v>
      </c>
      <c r="J8" s="40" t="s">
        <v>10</v>
      </c>
      <c r="K8" s="40" t="s">
        <v>11</v>
      </c>
      <c r="L8" s="40" t="s">
        <v>13</v>
      </c>
      <c r="M8" s="40" t="s">
        <v>14</v>
      </c>
      <c r="N8" s="449"/>
      <c r="O8" s="450"/>
      <c r="P8" s="449"/>
      <c r="Q8" s="450"/>
    </row>
    <row r="9" spans="1:20" ht="15.75" x14ac:dyDescent="0.25">
      <c r="A9" s="42" t="str">
        <f>'FC1 2024'!A9:C9</f>
        <v>Accumulated Surplus/(Deficit), Beginning Balance 1/1/2024</v>
      </c>
      <c r="B9" s="43"/>
      <c r="C9" s="44"/>
      <c r="D9" s="45">
        <v>605907.75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</row>
    <row r="10" spans="1:20" x14ac:dyDescent="0.2">
      <c r="A10" s="47"/>
      <c r="B10" s="43"/>
      <c r="C10" s="44"/>
      <c r="D10" s="45"/>
      <c r="E10" s="46"/>
      <c r="F10" s="46"/>
      <c r="G10" s="46"/>
      <c r="H10" s="46"/>
      <c r="I10" s="45"/>
      <c r="J10" s="45"/>
      <c r="K10" s="45"/>
      <c r="L10" s="45"/>
      <c r="M10" s="45"/>
      <c r="N10" s="45"/>
      <c r="O10" s="45"/>
      <c r="P10" s="45"/>
      <c r="Q10" s="45"/>
      <c r="R10" s="39"/>
      <c r="S10" s="39"/>
      <c r="T10" s="39"/>
    </row>
    <row r="11" spans="1:20" s="37" customFormat="1" ht="15.75" x14ac:dyDescent="0.25">
      <c r="A11" s="42"/>
      <c r="B11" s="48" t="s">
        <v>16</v>
      </c>
      <c r="C11" s="49"/>
      <c r="D11" s="50"/>
      <c r="E11" s="50"/>
      <c r="F11" s="50"/>
      <c r="G11" s="50"/>
      <c r="H11" s="50">
        <f>SUM(H12:H19)</f>
        <v>0</v>
      </c>
      <c r="I11" s="50"/>
      <c r="J11" s="50"/>
      <c r="K11" s="50"/>
      <c r="L11" s="50"/>
      <c r="M11" s="50"/>
      <c r="N11" s="50"/>
      <c r="O11" s="50"/>
      <c r="P11" s="50"/>
      <c r="Q11" s="50"/>
      <c r="R11" s="51"/>
      <c r="S11" s="51"/>
      <c r="T11" s="51"/>
    </row>
    <row r="12" spans="1:20" hidden="1" x14ac:dyDescent="0.2">
      <c r="A12" s="47"/>
      <c r="B12" s="43"/>
      <c r="C12" s="44" t="s">
        <v>17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39"/>
      <c r="S12" s="39"/>
      <c r="T12" s="39"/>
    </row>
    <row r="13" spans="1:20" ht="15.75" hidden="1" x14ac:dyDescent="0.25">
      <c r="A13" s="47"/>
      <c r="B13" s="43"/>
      <c r="C13" s="52" t="s">
        <v>151</v>
      </c>
      <c r="D13" s="50"/>
      <c r="E13" s="45" t="s">
        <v>188</v>
      </c>
      <c r="F13" s="45"/>
      <c r="G13" s="45"/>
      <c r="H13" s="45">
        <f>+G13-F13</f>
        <v>0</v>
      </c>
      <c r="I13" s="45" t="s">
        <v>189</v>
      </c>
      <c r="J13" s="45"/>
      <c r="K13" s="45"/>
      <c r="L13" s="45">
        <f>+J13-K13</f>
        <v>0</v>
      </c>
      <c r="M13" s="45"/>
      <c r="N13" s="53"/>
      <c r="O13" s="45"/>
      <c r="P13" s="45"/>
      <c r="Q13" s="45"/>
      <c r="R13" s="39"/>
      <c r="S13" s="39"/>
      <c r="T13" s="39"/>
    </row>
    <row r="14" spans="1:20" ht="15.75" hidden="1" x14ac:dyDescent="0.25">
      <c r="A14" s="47"/>
      <c r="B14" s="43"/>
      <c r="C14" s="52" t="s">
        <v>190</v>
      </c>
      <c r="D14" s="50"/>
      <c r="E14" s="45" t="s">
        <v>191</v>
      </c>
      <c r="F14" s="45"/>
      <c r="G14" s="45"/>
      <c r="H14" s="45">
        <f t="shared" ref="H14:H18" si="0">+G14-F14</f>
        <v>0</v>
      </c>
      <c r="I14" s="45" t="s">
        <v>189</v>
      </c>
      <c r="J14" s="45"/>
      <c r="K14" s="45"/>
      <c r="L14" s="45">
        <f>+J14-K14</f>
        <v>0</v>
      </c>
      <c r="M14" s="45"/>
      <c r="N14" s="45"/>
      <c r="O14" s="45"/>
      <c r="P14" s="45"/>
      <c r="Q14" s="45"/>
      <c r="R14" s="39"/>
      <c r="S14" s="39"/>
      <c r="T14" s="39"/>
    </row>
    <row r="15" spans="1:20" ht="15.75" hidden="1" x14ac:dyDescent="0.25">
      <c r="A15" s="47"/>
      <c r="B15" s="43"/>
      <c r="C15" s="52" t="s">
        <v>181</v>
      </c>
      <c r="D15" s="50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39"/>
      <c r="S15" s="39"/>
      <c r="T15" s="39"/>
    </row>
    <row r="16" spans="1:20" ht="15.75" hidden="1" x14ac:dyDescent="0.25">
      <c r="A16" s="47"/>
      <c r="B16" s="43"/>
      <c r="C16" s="44" t="s">
        <v>180</v>
      </c>
      <c r="D16" s="50"/>
      <c r="E16" s="45"/>
      <c r="F16" s="45"/>
      <c r="G16" s="45"/>
      <c r="H16" s="45">
        <f t="shared" si="0"/>
        <v>0</v>
      </c>
      <c r="I16" s="45"/>
      <c r="J16" s="45"/>
      <c r="K16" s="45"/>
      <c r="L16" s="45"/>
      <c r="M16" s="45"/>
      <c r="N16" s="45"/>
      <c r="O16" s="45"/>
      <c r="P16" s="45"/>
      <c r="Q16" s="45"/>
      <c r="R16" s="39"/>
      <c r="S16" s="39"/>
      <c r="T16" s="39"/>
    </row>
    <row r="17" spans="1:20" ht="15.75" hidden="1" x14ac:dyDescent="0.25">
      <c r="A17" s="47"/>
      <c r="B17" s="43"/>
      <c r="C17" s="52" t="s">
        <v>179</v>
      </c>
      <c r="D17" s="50"/>
      <c r="E17" s="45" t="s">
        <v>192</v>
      </c>
      <c r="F17" s="45"/>
      <c r="G17" s="45"/>
      <c r="H17" s="45">
        <f t="shared" si="0"/>
        <v>0</v>
      </c>
      <c r="I17" s="45" t="s">
        <v>114</v>
      </c>
      <c r="J17" s="45"/>
      <c r="K17" s="45"/>
      <c r="L17" s="45"/>
      <c r="M17" s="45">
        <f>+K17-J17</f>
        <v>0</v>
      </c>
      <c r="N17" s="45"/>
      <c r="O17" s="45"/>
      <c r="P17" s="45"/>
      <c r="Q17" s="45"/>
      <c r="R17" s="39"/>
      <c r="S17" s="39"/>
      <c r="T17" s="39"/>
    </row>
    <row r="18" spans="1:20" ht="15.75" hidden="1" x14ac:dyDescent="0.25">
      <c r="A18" s="47"/>
      <c r="B18" s="43"/>
      <c r="C18" s="52" t="s">
        <v>178</v>
      </c>
      <c r="D18" s="50"/>
      <c r="E18" s="45" t="s">
        <v>191</v>
      </c>
      <c r="F18" s="45"/>
      <c r="G18" s="45"/>
      <c r="H18" s="45">
        <f t="shared" si="0"/>
        <v>0</v>
      </c>
      <c r="I18" s="45" t="s">
        <v>189</v>
      </c>
      <c r="J18" s="45"/>
      <c r="K18" s="45"/>
      <c r="L18" s="45">
        <f>+J18-K18</f>
        <v>0</v>
      </c>
      <c r="M18" s="45"/>
      <c r="N18" s="45"/>
      <c r="O18" s="45"/>
      <c r="P18" s="45"/>
      <c r="Q18" s="45"/>
      <c r="R18" s="39"/>
      <c r="S18" s="39"/>
      <c r="T18" s="39"/>
    </row>
    <row r="19" spans="1:20" ht="15.75" hidden="1" x14ac:dyDescent="0.25">
      <c r="A19" s="47"/>
      <c r="B19" s="43"/>
      <c r="C19" s="52" t="s">
        <v>181</v>
      </c>
      <c r="D19" s="50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39"/>
      <c r="S19" s="39"/>
      <c r="T19" s="39"/>
    </row>
    <row r="20" spans="1:20" s="37" customFormat="1" ht="15.75" x14ac:dyDescent="0.25">
      <c r="A20" s="42"/>
      <c r="B20" s="48" t="s">
        <v>23</v>
      </c>
      <c r="C20" s="49"/>
      <c r="D20" s="50"/>
      <c r="E20" s="50">
        <f>SUM(E21:E25)</f>
        <v>0</v>
      </c>
      <c r="F20" s="50"/>
      <c r="G20" s="50"/>
      <c r="H20" s="50">
        <f>SUM(H21:H35)</f>
        <v>0</v>
      </c>
      <c r="I20" s="50"/>
      <c r="J20" s="50"/>
      <c r="K20" s="50"/>
      <c r="L20" s="50">
        <v>0</v>
      </c>
      <c r="M20" s="50"/>
      <c r="N20" s="50"/>
      <c r="O20" s="50"/>
      <c r="P20" s="50"/>
      <c r="Q20" s="50"/>
      <c r="R20" s="51"/>
      <c r="S20" s="51"/>
      <c r="T20" s="51"/>
    </row>
    <row r="21" spans="1:20" ht="15.75" hidden="1" x14ac:dyDescent="0.25">
      <c r="A21" s="47"/>
      <c r="B21" s="43"/>
      <c r="C21" s="44" t="s">
        <v>24</v>
      </c>
      <c r="D21" s="50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39"/>
      <c r="S21" s="39"/>
      <c r="T21" s="39"/>
    </row>
    <row r="22" spans="1:20" ht="15.75" hidden="1" x14ac:dyDescent="0.25">
      <c r="A22" s="47"/>
      <c r="B22" s="43"/>
      <c r="C22" s="52" t="s">
        <v>193</v>
      </c>
      <c r="D22" s="50"/>
      <c r="E22" s="45" t="s">
        <v>194</v>
      </c>
      <c r="F22" s="45"/>
      <c r="G22" s="45"/>
      <c r="H22" s="45">
        <f>+F22-G22</f>
        <v>0</v>
      </c>
      <c r="I22" s="45" t="s">
        <v>114</v>
      </c>
      <c r="J22" s="45"/>
      <c r="K22" s="45"/>
      <c r="L22" s="45"/>
      <c r="M22" s="45">
        <f>+K22-J22</f>
        <v>0</v>
      </c>
      <c r="N22" s="45"/>
      <c r="O22" s="45"/>
      <c r="P22" s="45"/>
      <c r="Q22" s="45"/>
      <c r="R22" s="39"/>
      <c r="S22" s="39"/>
      <c r="T22" s="39"/>
    </row>
    <row r="23" spans="1:20" hidden="1" x14ac:dyDescent="0.2">
      <c r="A23" s="47"/>
      <c r="B23" s="43"/>
      <c r="C23" s="52" t="s">
        <v>195</v>
      </c>
      <c r="D23" s="45"/>
      <c r="E23" s="45"/>
      <c r="F23" s="45"/>
      <c r="G23" s="45"/>
      <c r="H23" s="45">
        <f t="shared" ref="H23:H32" si="1">+F23-G23</f>
        <v>0</v>
      </c>
      <c r="I23" s="45" t="s">
        <v>196</v>
      </c>
      <c r="J23" s="45"/>
      <c r="K23" s="45"/>
      <c r="L23" s="45">
        <f>-K23</f>
        <v>0</v>
      </c>
      <c r="M23" s="45">
        <f t="shared" ref="M23" si="2">+K23-J23</f>
        <v>0</v>
      </c>
      <c r="N23" s="45"/>
      <c r="O23" s="45"/>
      <c r="P23" s="45"/>
      <c r="Q23" s="45"/>
      <c r="R23" s="39"/>
      <c r="S23" s="39"/>
      <c r="T23" s="39"/>
    </row>
    <row r="24" spans="1:20" ht="15.75" hidden="1" x14ac:dyDescent="0.25">
      <c r="A24" s="47"/>
      <c r="B24" s="43"/>
      <c r="C24" s="52" t="s">
        <v>181</v>
      </c>
      <c r="D24" s="50"/>
      <c r="E24" s="45"/>
      <c r="F24" s="45"/>
      <c r="G24" s="45"/>
      <c r="H24" s="45">
        <f t="shared" si="1"/>
        <v>0</v>
      </c>
      <c r="I24" s="45"/>
      <c r="J24" s="45"/>
      <c r="K24" s="45"/>
      <c r="L24" s="45"/>
      <c r="M24" s="45"/>
      <c r="N24" s="45"/>
      <c r="O24" s="45"/>
      <c r="P24" s="45"/>
      <c r="Q24" s="45"/>
      <c r="R24" s="39"/>
      <c r="S24" s="39"/>
      <c r="T24" s="39"/>
    </row>
    <row r="25" spans="1:20" ht="15.75" hidden="1" x14ac:dyDescent="0.25">
      <c r="A25" s="47"/>
      <c r="B25" s="43"/>
      <c r="C25" s="44" t="s">
        <v>71</v>
      </c>
      <c r="D25" s="50"/>
      <c r="E25" s="45"/>
      <c r="F25" s="45"/>
      <c r="G25" s="45"/>
      <c r="H25" s="45">
        <f t="shared" si="1"/>
        <v>0</v>
      </c>
      <c r="I25" s="45"/>
      <c r="J25" s="45"/>
      <c r="K25" s="45"/>
      <c r="L25" s="45"/>
      <c r="M25" s="45"/>
      <c r="N25" s="45"/>
      <c r="O25" s="45"/>
      <c r="P25" s="45"/>
      <c r="Q25" s="45"/>
      <c r="R25" s="39"/>
      <c r="S25" s="39"/>
      <c r="T25" s="39"/>
    </row>
    <row r="26" spans="1:20" ht="15.75" hidden="1" x14ac:dyDescent="0.25">
      <c r="A26" s="47"/>
      <c r="B26" s="43"/>
      <c r="C26" s="52" t="s">
        <v>168</v>
      </c>
      <c r="D26" s="50"/>
      <c r="E26" s="45" t="s">
        <v>197</v>
      </c>
      <c r="F26" s="45"/>
      <c r="G26" s="45"/>
      <c r="H26" s="45">
        <f t="shared" si="1"/>
        <v>0</v>
      </c>
      <c r="I26" s="45" t="s">
        <v>198</v>
      </c>
      <c r="J26" s="45"/>
      <c r="K26" s="45"/>
      <c r="L26" s="45">
        <f>+J26-K26</f>
        <v>0</v>
      </c>
      <c r="M26" s="45"/>
      <c r="N26" s="45"/>
      <c r="O26" s="45"/>
      <c r="P26" s="45"/>
      <c r="Q26" s="45"/>
      <c r="R26" s="39"/>
      <c r="S26" s="39"/>
      <c r="T26" s="39"/>
    </row>
    <row r="27" spans="1:20" s="37" customFormat="1" ht="15.75" hidden="1" x14ac:dyDescent="0.25">
      <c r="A27" s="42"/>
      <c r="B27" s="48"/>
      <c r="C27" s="52" t="s">
        <v>181</v>
      </c>
      <c r="D27" s="50"/>
      <c r="E27" s="50"/>
      <c r="F27" s="50"/>
      <c r="G27" s="50"/>
      <c r="H27" s="45">
        <f t="shared" si="1"/>
        <v>0</v>
      </c>
      <c r="I27" s="50"/>
      <c r="J27" s="50"/>
      <c r="K27" s="50"/>
      <c r="L27" s="50"/>
      <c r="M27" s="50"/>
      <c r="N27" s="50"/>
      <c r="O27" s="50"/>
      <c r="P27" s="50"/>
      <c r="Q27" s="50"/>
      <c r="R27" s="51"/>
      <c r="S27" s="51"/>
      <c r="T27" s="51"/>
    </row>
    <row r="28" spans="1:20" s="37" customFormat="1" ht="15.75" hidden="1" x14ac:dyDescent="0.25">
      <c r="A28" s="42"/>
      <c r="B28" s="48"/>
      <c r="C28" s="43" t="s">
        <v>87</v>
      </c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1"/>
      <c r="S28" s="51"/>
      <c r="T28" s="51"/>
    </row>
    <row r="29" spans="1:20" ht="15.75" hidden="1" x14ac:dyDescent="0.25">
      <c r="A29" s="47"/>
      <c r="B29" s="48"/>
      <c r="C29" s="52" t="s">
        <v>166</v>
      </c>
      <c r="D29" s="54"/>
      <c r="E29" s="55" t="s">
        <v>199</v>
      </c>
      <c r="F29" s="45"/>
      <c r="G29" s="45"/>
      <c r="H29" s="45">
        <f t="shared" si="1"/>
        <v>0</v>
      </c>
      <c r="I29" s="45" t="s">
        <v>91</v>
      </c>
      <c r="J29" s="45"/>
      <c r="K29" s="45"/>
      <c r="L29" s="45">
        <f>+J29-K29</f>
        <v>0</v>
      </c>
      <c r="M29" s="45"/>
      <c r="N29" s="45"/>
      <c r="O29" s="45"/>
      <c r="P29" s="45"/>
      <c r="Q29" s="45"/>
      <c r="R29" s="39"/>
      <c r="S29" s="39"/>
      <c r="T29" s="39"/>
    </row>
    <row r="30" spans="1:20" ht="15.75" hidden="1" x14ac:dyDescent="0.25">
      <c r="A30" s="47"/>
      <c r="B30" s="48"/>
      <c r="C30" s="52" t="s">
        <v>200</v>
      </c>
      <c r="D30" s="56"/>
      <c r="E30" s="55" t="s">
        <v>199</v>
      </c>
      <c r="F30" s="45">
        <f>D30</f>
        <v>0</v>
      </c>
      <c r="G30" s="45"/>
      <c r="H30" s="45">
        <f t="shared" si="1"/>
        <v>0</v>
      </c>
      <c r="I30" s="45" t="s">
        <v>89</v>
      </c>
      <c r="J30" s="45"/>
      <c r="K30" s="45">
        <f>F30</f>
        <v>0</v>
      </c>
      <c r="L30" s="45">
        <v>0</v>
      </c>
      <c r="M30" s="45"/>
      <c r="N30" s="45"/>
      <c r="O30" s="45"/>
      <c r="P30" s="45"/>
      <c r="Q30" s="45"/>
      <c r="R30" s="39"/>
      <c r="S30" s="39"/>
      <c r="T30" s="39"/>
    </row>
    <row r="31" spans="1:20" ht="15.75" hidden="1" x14ac:dyDescent="0.25">
      <c r="A31" s="47"/>
      <c r="B31" s="48"/>
      <c r="C31" s="52" t="s">
        <v>137</v>
      </c>
      <c r="D31" s="54"/>
      <c r="E31" s="5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 t="s">
        <v>126</v>
      </c>
      <c r="Q31" s="45"/>
      <c r="R31" s="39"/>
      <c r="S31" s="39"/>
      <c r="T31" s="39"/>
    </row>
    <row r="32" spans="1:20" ht="15.75" hidden="1" x14ac:dyDescent="0.25">
      <c r="A32" s="47"/>
      <c r="B32" s="48"/>
      <c r="C32" s="52" t="s">
        <v>181</v>
      </c>
      <c r="D32" s="45"/>
      <c r="E32" s="45"/>
      <c r="F32" s="45"/>
      <c r="G32" s="45"/>
      <c r="H32" s="45">
        <f t="shared" si="1"/>
        <v>0</v>
      </c>
      <c r="I32" s="45"/>
      <c r="J32" s="45"/>
      <c r="K32" s="45"/>
      <c r="L32" s="45"/>
      <c r="M32" s="45"/>
      <c r="N32" s="45"/>
      <c r="O32" s="45"/>
      <c r="P32" s="45"/>
      <c r="Q32" s="45"/>
      <c r="R32" s="39"/>
      <c r="S32" s="39"/>
      <c r="T32" s="39"/>
    </row>
    <row r="33" spans="1:20" ht="15.75" x14ac:dyDescent="0.25">
      <c r="A33" s="47"/>
      <c r="B33" s="48" t="s">
        <v>176</v>
      </c>
      <c r="C33" s="52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39"/>
      <c r="S33" s="39"/>
      <c r="T33" s="39"/>
    </row>
    <row r="34" spans="1:20" ht="15.75" x14ac:dyDescent="0.25">
      <c r="A34" s="47"/>
      <c r="B34" s="48"/>
      <c r="C34" s="52" t="s">
        <v>344</v>
      </c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39"/>
      <c r="S34" s="39"/>
      <c r="T34" s="39"/>
    </row>
    <row r="35" spans="1:20" ht="15.75" x14ac:dyDescent="0.25">
      <c r="A35" s="47"/>
      <c r="B35" s="48"/>
      <c r="C35" s="52" t="s">
        <v>242</v>
      </c>
      <c r="D35" s="45">
        <v>-605907.75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205">
        <f>D35</f>
        <v>-605907.75</v>
      </c>
      <c r="Q35" s="45"/>
      <c r="R35" s="39"/>
      <c r="S35" s="39"/>
      <c r="T35" s="39"/>
    </row>
    <row r="36" spans="1:20" ht="15.75" hidden="1" x14ac:dyDescent="0.25">
      <c r="A36" s="47"/>
      <c r="B36" s="48"/>
      <c r="C36" s="52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205"/>
      <c r="Q36" s="45"/>
      <c r="R36" s="39"/>
      <c r="S36" s="39"/>
      <c r="T36" s="39"/>
    </row>
    <row r="37" spans="1:20" s="37" customFormat="1" ht="15.75" x14ac:dyDescent="0.25">
      <c r="A37" s="42" t="str">
        <f>'FC1 2024'!A117</f>
        <v>Balance as of March 31, 2024</v>
      </c>
      <c r="B37" s="48"/>
      <c r="C37" s="49"/>
      <c r="D37" s="50">
        <f>SUM(D9:D35)</f>
        <v>0</v>
      </c>
      <c r="E37" s="50">
        <f>E9+E28+E20+E11</f>
        <v>0</v>
      </c>
      <c r="F37" s="50"/>
      <c r="G37" s="50"/>
      <c r="H37" s="50">
        <f>+H11+H20</f>
        <v>0</v>
      </c>
      <c r="I37" s="50">
        <f>SUM(I12:I32)</f>
        <v>0</v>
      </c>
      <c r="J37" s="50"/>
      <c r="K37" s="50"/>
      <c r="L37" s="50">
        <f>+L11+L20</f>
        <v>0</v>
      </c>
      <c r="M37" s="50">
        <f>SUM(M11:M32)</f>
        <v>0</v>
      </c>
      <c r="N37" s="50"/>
      <c r="O37" s="50">
        <f>SUM(O11:O32)</f>
        <v>0</v>
      </c>
      <c r="P37" s="50"/>
      <c r="Q37" s="50">
        <f>SUM(Q11:Q32)</f>
        <v>0</v>
      </c>
      <c r="R37" s="51"/>
      <c r="S37" s="51"/>
      <c r="T37" s="51"/>
    </row>
    <row r="38" spans="1:20" x14ac:dyDescent="0.2">
      <c r="A38" s="57" t="s">
        <v>162</v>
      </c>
      <c r="D38" s="39">
        <f>D37-[34]FC1SGE!$M$20</f>
        <v>605907.75</v>
      </c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</row>
    <row r="39" spans="1:20" ht="15.75" x14ac:dyDescent="0.25">
      <c r="A39" s="57"/>
      <c r="C39" s="37" t="s">
        <v>116</v>
      </c>
      <c r="E39" s="37" t="s">
        <v>117</v>
      </c>
      <c r="I39" s="37" t="s">
        <v>118</v>
      </c>
      <c r="J39" s="39"/>
      <c r="K39" s="39"/>
      <c r="L39" s="39"/>
      <c r="M39" s="37"/>
      <c r="N39" s="37"/>
      <c r="O39" s="37"/>
      <c r="P39" s="58" t="s">
        <v>159</v>
      </c>
      <c r="Q39" s="39"/>
      <c r="R39" s="39"/>
      <c r="S39" s="39"/>
      <c r="T39" s="39"/>
    </row>
    <row r="40" spans="1:20" x14ac:dyDescent="0.2">
      <c r="C40" s="59" t="s">
        <v>120</v>
      </c>
      <c r="D40" s="39">
        <f>D37</f>
        <v>0</v>
      </c>
      <c r="I40" s="39"/>
      <c r="J40" s="60" t="s">
        <v>121</v>
      </c>
      <c r="K40" s="61"/>
      <c r="L40" s="39">
        <f>L37</f>
        <v>0</v>
      </c>
      <c r="M40" s="39"/>
      <c r="N40" s="39"/>
      <c r="O40" s="39"/>
      <c r="P40" s="39"/>
      <c r="Q40" s="39"/>
      <c r="R40" s="39"/>
      <c r="S40" s="39"/>
      <c r="T40" s="39"/>
    </row>
    <row r="41" spans="1:20" x14ac:dyDescent="0.2">
      <c r="C41" s="59" t="s">
        <v>122</v>
      </c>
      <c r="D41" s="39">
        <f>D9</f>
        <v>605907.75</v>
      </c>
      <c r="I41" s="39"/>
      <c r="J41" s="60" t="s">
        <v>123</v>
      </c>
      <c r="K41" s="61"/>
      <c r="L41" s="39">
        <f>M37</f>
        <v>0</v>
      </c>
      <c r="M41" s="39"/>
      <c r="N41" s="39"/>
      <c r="O41" s="39"/>
      <c r="P41" s="39"/>
      <c r="Q41" s="39"/>
      <c r="R41" s="39"/>
      <c r="S41" s="39"/>
      <c r="T41" s="39"/>
    </row>
    <row r="42" spans="1:20" ht="15.75" x14ac:dyDescent="0.25">
      <c r="C42" s="62" t="s">
        <v>124</v>
      </c>
      <c r="D42" s="51">
        <f>+D40-D41</f>
        <v>-605907.75</v>
      </c>
      <c r="E42" s="63" t="s">
        <v>125</v>
      </c>
      <c r="H42" s="64">
        <f>+H37</f>
        <v>0</v>
      </c>
      <c r="I42" s="39"/>
      <c r="J42" s="60" t="s">
        <v>126</v>
      </c>
      <c r="K42" s="65"/>
      <c r="L42" s="51">
        <f>P35</f>
        <v>-605907.75</v>
      </c>
      <c r="M42" s="39"/>
      <c r="N42" s="39"/>
      <c r="O42" s="39">
        <f>L40-L41</f>
        <v>0</v>
      </c>
      <c r="P42" s="51" t="s">
        <v>126</v>
      </c>
      <c r="Q42" s="51">
        <f>P35</f>
        <v>-605907.75</v>
      </c>
      <c r="R42" s="39"/>
      <c r="S42" s="39"/>
      <c r="T42" s="39"/>
    </row>
    <row r="43" spans="1:20" ht="15.75" x14ac:dyDescent="0.25">
      <c r="I43" s="39"/>
      <c r="J43" s="66" t="s">
        <v>127</v>
      </c>
      <c r="K43" s="51"/>
      <c r="L43" s="51">
        <f>+L40-L41+L42</f>
        <v>-605907.75</v>
      </c>
      <c r="M43" s="51"/>
      <c r="N43" s="51"/>
      <c r="O43" s="51">
        <f>+L40-L41-O42</f>
        <v>0</v>
      </c>
      <c r="P43" s="39"/>
      <c r="Q43" s="39"/>
      <c r="R43" s="39"/>
      <c r="S43" s="39"/>
      <c r="T43" s="39"/>
    </row>
    <row r="44" spans="1:20" s="67" customFormat="1" x14ac:dyDescent="0.2">
      <c r="D44" s="68"/>
      <c r="E44" s="261"/>
      <c r="I44" s="68"/>
      <c r="J44" s="68"/>
      <c r="K44" s="68"/>
      <c r="L44" s="68">
        <f>D42-L43</f>
        <v>0</v>
      </c>
      <c r="M44" s="68"/>
      <c r="N44" s="68"/>
      <c r="O44" s="68"/>
      <c r="P44" s="68"/>
      <c r="Q44" s="68"/>
      <c r="R44" s="68"/>
      <c r="S44" s="68"/>
      <c r="T44" s="68"/>
    </row>
    <row r="45" spans="1:20" s="67" customFormat="1" x14ac:dyDescent="0.2">
      <c r="D45" s="68"/>
      <c r="E45" s="69">
        <f>D37</f>
        <v>0</v>
      </c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</row>
    <row r="46" spans="1:20" s="67" customFormat="1" ht="15.75" x14ac:dyDescent="0.25">
      <c r="D46" s="68"/>
      <c r="E46" s="70">
        <f>[33]FC1SGE!$J$19</f>
        <v>1060847.8499999975</v>
      </c>
      <c r="I46" s="454"/>
      <c r="J46" s="454"/>
      <c r="K46" s="454"/>
      <c r="L46" s="454"/>
      <c r="M46" s="454"/>
      <c r="N46" s="454"/>
      <c r="O46" s="454"/>
      <c r="P46" s="454"/>
      <c r="Q46" s="454"/>
      <c r="R46" s="68"/>
      <c r="S46" s="68"/>
      <c r="T46" s="68"/>
    </row>
    <row r="47" spans="1:20" s="67" customFormat="1" hidden="1" x14ac:dyDescent="0.2">
      <c r="C47" s="71"/>
      <c r="D47" s="68"/>
      <c r="E47" s="72"/>
      <c r="I47" s="73"/>
      <c r="J47" s="73"/>
      <c r="K47" s="73"/>
      <c r="L47" s="73"/>
      <c r="M47" s="73"/>
      <c r="N47" s="73"/>
      <c r="O47" s="73"/>
      <c r="P47" s="73"/>
      <c r="Q47" s="73"/>
      <c r="R47" s="68"/>
      <c r="S47" s="68"/>
      <c r="T47" s="68"/>
    </row>
    <row r="48" spans="1:20" s="67" customFormat="1" x14ac:dyDescent="0.2">
      <c r="C48" s="71"/>
      <c r="D48" s="68"/>
      <c r="E48" s="69">
        <f>E45-E46</f>
        <v>-1060847.8499999975</v>
      </c>
      <c r="I48" s="73"/>
      <c r="J48" s="73"/>
      <c r="K48" s="73"/>
      <c r="L48" s="73"/>
      <c r="M48" s="73"/>
      <c r="N48" s="73"/>
      <c r="O48" s="73"/>
      <c r="P48" s="73"/>
      <c r="Q48" s="73"/>
      <c r="R48" s="68"/>
      <c r="S48" s="68"/>
      <c r="T48" s="68"/>
    </row>
    <row r="49" spans="4:20" s="74" customFormat="1" ht="16.5" x14ac:dyDescent="0.3">
      <c r="D49" s="75" t="s">
        <v>130</v>
      </c>
      <c r="E49" s="76"/>
      <c r="J49" s="77"/>
      <c r="K49" s="3" t="s">
        <v>131</v>
      </c>
      <c r="L49" s="77"/>
      <c r="M49" s="77"/>
      <c r="N49" s="77"/>
      <c r="O49" s="77"/>
      <c r="P49" s="76" t="s">
        <v>201</v>
      </c>
      <c r="Q49" s="76">
        <f>22029704.73-16100096.25</f>
        <v>5929608.4800000004</v>
      </c>
      <c r="R49" s="76">
        <v>-16100096.25</v>
      </c>
      <c r="S49" s="76">
        <v>0</v>
      </c>
      <c r="T49" s="76">
        <v>22029704.73</v>
      </c>
    </row>
    <row r="50" spans="4:20" s="74" customFormat="1" ht="16.5" x14ac:dyDescent="0.3">
      <c r="E50" s="77"/>
      <c r="J50" s="77"/>
      <c r="K50" s="77"/>
      <c r="L50" s="77"/>
      <c r="M50" s="77"/>
      <c r="N50" s="77"/>
      <c r="O50" s="77"/>
      <c r="P50" s="76" t="s">
        <v>202</v>
      </c>
      <c r="Q50" s="78">
        <f>SUM(Q48:Q49)</f>
        <v>5929608.4800000004</v>
      </c>
      <c r="R50" s="76">
        <f>Q48+R49</f>
        <v>-16100096.25</v>
      </c>
      <c r="S50" s="76">
        <f>R50+S49</f>
        <v>-16100096.25</v>
      </c>
      <c r="T50" s="79">
        <f>S50+T49</f>
        <v>5929608.4800000004</v>
      </c>
    </row>
    <row r="51" spans="4:20" s="74" customFormat="1" ht="16.5" x14ac:dyDescent="0.3">
      <c r="E51" s="77"/>
      <c r="J51" s="77"/>
      <c r="K51" s="77"/>
      <c r="L51" s="77"/>
      <c r="M51" s="77"/>
      <c r="N51" s="77"/>
      <c r="O51" s="77"/>
      <c r="P51" s="76"/>
      <c r="Q51" s="76"/>
      <c r="R51" s="76"/>
      <c r="S51" s="76"/>
      <c r="T51" s="80"/>
    </row>
    <row r="52" spans="4:20" s="74" customFormat="1" ht="16.5" x14ac:dyDescent="0.3">
      <c r="D52" s="455" t="s">
        <v>255</v>
      </c>
      <c r="E52" s="455"/>
      <c r="F52" s="455"/>
      <c r="J52" s="81"/>
      <c r="K52" s="455" t="s">
        <v>132</v>
      </c>
      <c r="L52" s="455"/>
      <c r="M52" s="455"/>
      <c r="N52" s="81"/>
      <c r="O52" s="81"/>
      <c r="P52" s="82"/>
      <c r="Q52" s="76"/>
      <c r="R52" s="76"/>
      <c r="S52" s="76"/>
      <c r="T52" s="80"/>
    </row>
    <row r="53" spans="4:20" s="74" customFormat="1" ht="16.5" x14ac:dyDescent="0.3">
      <c r="D53" s="456" t="s">
        <v>133</v>
      </c>
      <c r="E53" s="456"/>
      <c r="F53" s="456"/>
      <c r="J53" s="83"/>
      <c r="K53" s="456" t="s">
        <v>134</v>
      </c>
      <c r="L53" s="456"/>
      <c r="M53" s="456"/>
      <c r="N53" s="83"/>
      <c r="O53" s="83"/>
      <c r="P53" s="83"/>
      <c r="Q53" s="77"/>
      <c r="R53" s="77"/>
      <c r="S53" s="77"/>
    </row>
  </sheetData>
  <mergeCells count="12">
    <mergeCell ref="I46:Q46"/>
    <mergeCell ref="D52:F52"/>
    <mergeCell ref="K52:M52"/>
    <mergeCell ref="D53:F53"/>
    <mergeCell ref="K53:M53"/>
    <mergeCell ref="A6:C8"/>
    <mergeCell ref="D6:D8"/>
    <mergeCell ref="E6:M6"/>
    <mergeCell ref="N6:O8"/>
    <mergeCell ref="P6:Q8"/>
    <mergeCell ref="E7:H7"/>
    <mergeCell ref="I7:M7"/>
  </mergeCells>
  <printOptions horizontalCentered="1"/>
  <pageMargins left="0" right="0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summary</vt:lpstr>
      <vt:lpstr>CONSO BOAS 2023 (FC1,2,3,4,7)</vt:lpstr>
      <vt:lpstr>FC1 2024</vt:lpstr>
      <vt:lpstr>Sheet1</vt:lpstr>
      <vt:lpstr>Sheet5</vt:lpstr>
      <vt:lpstr>WORKING PAPER FC1</vt:lpstr>
      <vt:lpstr>FC2</vt:lpstr>
      <vt:lpstr>FC 3 2024</vt:lpstr>
      <vt:lpstr>FC 4 DECEMBER</vt:lpstr>
      <vt:lpstr>FC 6 DECEMBER</vt:lpstr>
      <vt:lpstr> FC 7 2024</vt:lpstr>
      <vt:lpstr> FC 7 </vt:lpstr>
      <vt:lpstr>' FC 7 '!Print_Area</vt:lpstr>
      <vt:lpstr>' FC 7 2024'!Print_Area</vt:lpstr>
      <vt:lpstr>'CONSO BOAS 2023 (FC1,2,3,4,7)'!Print_Area</vt:lpstr>
      <vt:lpstr>'FC 3 2024'!Print_Area</vt:lpstr>
      <vt:lpstr>'FC 4 DECEMBER'!Print_Area</vt:lpstr>
      <vt:lpstr>'FC 6 DECEMBER'!Print_Area</vt:lpstr>
      <vt:lpstr>'FC1 2024'!Print_Area</vt:lpstr>
      <vt:lpstr>'FC2'!Print_Area</vt:lpstr>
      <vt:lpstr>'CONSO BOAS 2023 (FC1,2,3,4,7)'!Print_Titles</vt:lpstr>
      <vt:lpstr>'FC1 2024'!Print_Titles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Valene G. Miñoza</dc:creator>
  <cp:lastModifiedBy>Valene G. Miñoza</cp:lastModifiedBy>
  <cp:lastPrinted>2024-01-18T05:37:59Z</cp:lastPrinted>
  <dcterms:created xsi:type="dcterms:W3CDTF">2023-02-02T01:48:07Z</dcterms:created>
  <dcterms:modified xsi:type="dcterms:W3CDTF">2024-04-08T09:51:18Z</dcterms:modified>
</cp:coreProperties>
</file>